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년 예산 공고\"/>
    </mc:Choice>
  </mc:AlternateContent>
  <xr:revisionPtr revIDLastSave="0" documentId="13_ncr:1_{2041D374-4317-4EDA-9920-175159761848}" xr6:coauthVersionLast="47" xr6:coauthVersionMax="47" xr10:uidLastSave="{00000000-0000-0000-0000-000000000000}"/>
  <bookViews>
    <workbookView xWindow="-120" yWindow="-120" windowWidth="29040" windowHeight="15840" tabRatio="536" xr2:uid="{00000000-000D-0000-FFFF-FFFF00000000}"/>
  </bookViews>
  <sheets>
    <sheet name="표지" sheetId="7" r:id="rId1"/>
    <sheet name="세입세출총괄표" sheetId="150" r:id="rId2"/>
    <sheet name="세입명세서" sheetId="151" r:id="rId3"/>
    <sheet name="세출명세서" sheetId="153" r:id="rId4"/>
  </sheets>
  <definedNames>
    <definedName name="_xlnm.Print_Area" localSheetId="1">세입세출총괄표!$A$1:$N$41</definedName>
    <definedName name="_xlnm.Print_Area" localSheetId="3">세출명세서!$A$1:$J$75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53" l="1"/>
  <c r="D24" i="153"/>
  <c r="D7" i="153"/>
  <c r="I60" i="153"/>
  <c r="I59" i="153"/>
  <c r="I58" i="153"/>
  <c r="I57" i="153"/>
  <c r="I56" i="153"/>
  <c r="I55" i="153"/>
  <c r="I54" i="153"/>
  <c r="I53" i="153"/>
  <c r="I12" i="153"/>
  <c r="L36" i="150"/>
  <c r="L38" i="150"/>
  <c r="K40" i="150"/>
  <c r="K39" i="150"/>
  <c r="K38" i="150"/>
  <c r="K36" i="150"/>
  <c r="K35" i="150"/>
  <c r="K34" i="150"/>
  <c r="K33" i="150"/>
  <c r="K32" i="150"/>
  <c r="K31" i="150"/>
  <c r="L28" i="150"/>
  <c r="K22" i="150"/>
  <c r="K23" i="150"/>
  <c r="K24" i="150"/>
  <c r="K25" i="150"/>
  <c r="K26" i="150"/>
  <c r="K27" i="150"/>
  <c r="K28" i="150"/>
  <c r="K29" i="150"/>
  <c r="K21" i="150"/>
  <c r="K18" i="150"/>
  <c r="K19" i="150"/>
  <c r="K20" i="150"/>
  <c r="K17" i="150"/>
  <c r="K15" i="150"/>
  <c r="K14" i="150"/>
  <c r="K13" i="150"/>
  <c r="K12" i="150"/>
  <c r="K11" i="150"/>
  <c r="K10" i="150"/>
  <c r="K9" i="150"/>
  <c r="D13" i="150"/>
  <c r="D10" i="150"/>
  <c r="D11" i="150"/>
  <c r="D12" i="150"/>
  <c r="D9" i="150"/>
  <c r="G11" i="151"/>
  <c r="E9" i="151"/>
  <c r="E10" i="150" s="1"/>
  <c r="E10" i="151"/>
  <c r="E11" i="150" s="1"/>
  <c r="F11" i="150" s="1"/>
  <c r="E11" i="151"/>
  <c r="E12" i="150" s="1"/>
  <c r="E12" i="151"/>
  <c r="E13" i="150" s="1"/>
  <c r="E8" i="151"/>
  <c r="E9" i="150" s="1"/>
  <c r="F11" i="151" l="1"/>
  <c r="K30" i="150"/>
  <c r="K16" i="150"/>
  <c r="K8" i="150"/>
  <c r="M36" i="150"/>
  <c r="M28" i="150"/>
  <c r="N28" i="150"/>
  <c r="F12" i="150"/>
  <c r="F10" i="150"/>
  <c r="G11" i="150"/>
  <c r="F13" i="150"/>
  <c r="G12" i="150"/>
  <c r="G10" i="150"/>
  <c r="I38" i="153" l="1"/>
  <c r="G38" i="153"/>
  <c r="E47" i="153"/>
  <c r="L32" i="150" s="1"/>
  <c r="E39" i="153"/>
  <c r="L29" i="150" s="1"/>
  <c r="M29" i="150" s="1"/>
  <c r="E34" i="153"/>
  <c r="L24" i="150" s="1"/>
  <c r="E35" i="153"/>
  <c r="L25" i="150" s="1"/>
  <c r="E31" i="153"/>
  <c r="L21" i="150" s="1"/>
  <c r="E26" i="153"/>
  <c r="L18" i="150" s="1"/>
  <c r="E27" i="153"/>
  <c r="L19" i="150" s="1"/>
  <c r="E25" i="153"/>
  <c r="E22" i="153"/>
  <c r="E23" i="153"/>
  <c r="L15" i="150" s="1"/>
  <c r="E21" i="153"/>
  <c r="L13" i="150" s="1"/>
  <c r="I36" i="153"/>
  <c r="E36" i="153" s="1"/>
  <c r="L26" i="150" s="1"/>
  <c r="I73" i="153"/>
  <c r="I72" i="153"/>
  <c r="I71" i="153"/>
  <c r="I64" i="153"/>
  <c r="I62" i="153"/>
  <c r="I61" i="153"/>
  <c r="E58" i="153"/>
  <c r="L34" i="150" s="1"/>
  <c r="E53" i="153"/>
  <c r="L33" i="150" s="1"/>
  <c r="I46" i="153"/>
  <c r="I45" i="153"/>
  <c r="I44" i="153"/>
  <c r="I43" i="153"/>
  <c r="I42" i="153"/>
  <c r="I41" i="153"/>
  <c r="D71" i="153"/>
  <c r="D63" i="153" s="1"/>
  <c r="D6" i="153" s="1"/>
  <c r="I37" i="153"/>
  <c r="E37" i="153" s="1"/>
  <c r="L27" i="150" s="1"/>
  <c r="I33" i="153"/>
  <c r="E33" i="153" s="1"/>
  <c r="L23" i="150" s="1"/>
  <c r="I32" i="153"/>
  <c r="E32" i="153" s="1"/>
  <c r="L22" i="150" s="1"/>
  <c r="I30" i="153"/>
  <c r="I29" i="153"/>
  <c r="I28" i="153"/>
  <c r="I20" i="153"/>
  <c r="I19" i="153"/>
  <c r="I18" i="153"/>
  <c r="I17" i="153"/>
  <c r="I16" i="153"/>
  <c r="E16" i="153" s="1"/>
  <c r="L11" i="150" s="1"/>
  <c r="I15" i="153"/>
  <c r="I14" i="153"/>
  <c r="I13" i="153"/>
  <c r="I11" i="153"/>
  <c r="I10" i="153"/>
  <c r="I9" i="153"/>
  <c r="I8" i="153"/>
  <c r="E61" i="153"/>
  <c r="L14" i="150" l="1"/>
  <c r="F22" i="153"/>
  <c r="L17" i="150"/>
  <c r="K41" i="150"/>
  <c r="K37" i="150" s="1"/>
  <c r="K7" i="150" s="1"/>
  <c r="E8" i="153"/>
  <c r="E71" i="153"/>
  <c r="L41" i="150" s="1"/>
  <c r="M27" i="150"/>
  <c r="N27" i="150"/>
  <c r="M26" i="150"/>
  <c r="N26" i="150"/>
  <c r="N25" i="150"/>
  <c r="M25" i="150"/>
  <c r="G61" i="153"/>
  <c r="L35" i="150"/>
  <c r="E41" i="153"/>
  <c r="E40" i="153" s="1"/>
  <c r="E13" i="153"/>
  <c r="L10" i="150" s="1"/>
  <c r="E17" i="153"/>
  <c r="L12" i="150" s="1"/>
  <c r="E28" i="153"/>
  <c r="L20" i="150" s="1"/>
  <c r="F38" i="153"/>
  <c r="F36" i="153"/>
  <c r="G36" i="153"/>
  <c r="F61" i="153"/>
  <c r="E24" i="153" l="1"/>
  <c r="L9" i="150"/>
  <c r="E7" i="153"/>
  <c r="G22" i="153"/>
  <c r="L16" i="150"/>
  <c r="L8" i="150"/>
  <c r="L31" i="150"/>
  <c r="L30" i="150" s="1"/>
  <c r="M35" i="150"/>
  <c r="N35" i="150"/>
  <c r="M12" i="150"/>
  <c r="N12" i="150"/>
  <c r="N11" i="150"/>
  <c r="N9" i="150"/>
  <c r="F35" i="153" l="1"/>
  <c r="G34" i="153"/>
  <c r="G33" i="153"/>
  <c r="G32" i="153"/>
  <c r="G35" i="153" l="1"/>
  <c r="E7" i="151" l="1"/>
  <c r="E8" i="150"/>
  <c r="E7" i="150" s="1"/>
  <c r="M10" i="150"/>
  <c r="M11" i="150"/>
  <c r="M13" i="150"/>
  <c r="M14" i="150"/>
  <c r="M15" i="150"/>
  <c r="M17" i="150"/>
  <c r="M18" i="150"/>
  <c r="M19" i="150"/>
  <c r="M20" i="150"/>
  <c r="M21" i="150"/>
  <c r="M22" i="150"/>
  <c r="M23" i="150"/>
  <c r="M24" i="150"/>
  <c r="M32" i="150"/>
  <c r="M33" i="150"/>
  <c r="M34" i="150"/>
  <c r="M38" i="150"/>
  <c r="M41" i="150"/>
  <c r="M16" i="150" l="1"/>
  <c r="E6" i="151"/>
  <c r="E65" i="153" l="1"/>
  <c r="L39" i="150" l="1"/>
  <c r="M39" i="150" s="1"/>
  <c r="N41" i="150"/>
  <c r="E66" i="153"/>
  <c r="L40" i="150" s="1"/>
  <c r="M40" i="150" s="1"/>
  <c r="E63" i="153" l="1"/>
  <c r="G40" i="153"/>
  <c r="M37" i="150"/>
  <c r="L37" i="150"/>
  <c r="N40" i="150"/>
  <c r="F39" i="153"/>
  <c r="N39" i="150"/>
  <c r="N38" i="150"/>
  <c r="N10" i="150"/>
  <c r="G63" i="153" l="1"/>
  <c r="E6" i="153"/>
  <c r="G24" i="153"/>
  <c r="N37" i="150"/>
  <c r="L7" i="150"/>
  <c r="N33" i="150"/>
  <c r="N32" i="150"/>
  <c r="N22" i="150"/>
  <c r="F33" i="153"/>
  <c r="N24" i="150"/>
  <c r="N21" i="150"/>
  <c r="N14" i="150"/>
  <c r="F25" i="153" l="1"/>
  <c r="N18" i="150"/>
  <c r="F26" i="153"/>
  <c r="G26" i="153" s="1"/>
  <c r="N19" i="150"/>
  <c r="F27" i="153"/>
  <c r="G27" i="153" s="1"/>
  <c r="N17" i="150"/>
  <c r="N34" i="150"/>
  <c r="N15" i="150"/>
  <c r="N23" i="150"/>
  <c r="N20" i="150"/>
  <c r="G25" i="153" l="1"/>
  <c r="N31" i="150"/>
  <c r="N13" i="150"/>
  <c r="G10" i="151" l="1"/>
  <c r="F10" i="151"/>
  <c r="G9" i="151"/>
  <c r="F9" i="151"/>
  <c r="G8" i="151"/>
  <c r="F8" i="151"/>
  <c r="G71" i="153" l="1"/>
  <c r="F71" i="153"/>
  <c r="G66" i="153"/>
  <c r="F66" i="153"/>
  <c r="G65" i="153"/>
  <c r="F65" i="153"/>
  <c r="G64" i="153"/>
  <c r="F64" i="153"/>
  <c r="F63" i="153" s="1"/>
  <c r="F62" i="153"/>
  <c r="G58" i="153"/>
  <c r="F58" i="153"/>
  <c r="G53" i="153"/>
  <c r="F53" i="153"/>
  <c r="G47" i="153"/>
  <c r="F47" i="153"/>
  <c r="G41" i="153"/>
  <c r="F41" i="153"/>
  <c r="F31" i="153"/>
  <c r="G31" i="153"/>
  <c r="F32" i="153"/>
  <c r="F40" i="153" l="1"/>
  <c r="G7" i="153"/>
  <c r="G37" i="153" l="1"/>
  <c r="F37" i="153"/>
  <c r="F34" i="153"/>
  <c r="G28" i="153"/>
  <c r="F28" i="153"/>
  <c r="F24" i="153" s="1"/>
  <c r="F23" i="153"/>
  <c r="F21" i="153"/>
  <c r="G21" i="153" s="1"/>
  <c r="G17" i="153"/>
  <c r="F17" i="153"/>
  <c r="G16" i="153"/>
  <c r="F16" i="153"/>
  <c r="G13" i="153"/>
  <c r="F13" i="153"/>
  <c r="G8" i="153"/>
  <c r="F8" i="153"/>
  <c r="F7" i="153" l="1"/>
  <c r="F6" i="153" s="1"/>
  <c r="N30" i="150"/>
  <c r="G6" i="153"/>
  <c r="D7" i="151"/>
  <c r="F7" i="151" s="1"/>
  <c r="N16" i="150" l="1"/>
  <c r="G7" i="151"/>
  <c r="D6" i="151"/>
  <c r="F6" i="151" s="1"/>
  <c r="G6" i="151" l="1"/>
  <c r="M31" i="150"/>
  <c r="M30" i="150" s="1"/>
  <c r="M9" i="150"/>
  <c r="M8" i="150" s="1"/>
  <c r="M7" i="150" s="1"/>
  <c r="N8" i="150" l="1"/>
  <c r="N7" i="150" l="1"/>
  <c r="F9" i="150"/>
  <c r="G9" i="150"/>
  <c r="D8" i="150"/>
  <c r="D7" i="150" l="1"/>
  <c r="G7" i="150" s="1"/>
  <c r="F8" i="150"/>
  <c r="F7" i="150" s="1"/>
  <c r="G8" i="1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0" authorId="0" shapeId="0" xr:uid="{1A1A08D1-E214-494C-9290-28401077AF1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2020.7.17 </t>
        </r>
        <r>
          <rPr>
            <sz val="9"/>
            <color indexed="81"/>
            <rFont val="돋움"/>
            <family val="3"/>
            <charset val="129"/>
          </rPr>
          <t>수신공문철에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있고</t>
        </r>
        <r>
          <rPr>
            <sz val="9"/>
            <color indexed="81"/>
            <rFont val="Tahoma"/>
            <family val="2"/>
          </rPr>
          <t xml:space="preserve"> 9/23 </t>
        </r>
        <r>
          <rPr>
            <sz val="9"/>
            <color indexed="81"/>
            <rFont val="돋움"/>
            <family val="3"/>
            <charset val="129"/>
          </rPr>
          <t>품의서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현장실습에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첨부파일있음
</t>
        </r>
      </text>
    </comment>
    <comment ref="H31" authorId="0" shapeId="0" xr:uid="{28531183-4B78-42BE-9171-5588CEE94FD0}">
      <text>
        <r>
          <rPr>
            <b/>
            <sz val="9"/>
            <color indexed="81"/>
            <rFont val="돋움"/>
            <family val="3"/>
            <charset val="129"/>
          </rPr>
          <t>신규돌보미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받아서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센터부담분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별도보냄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거점으로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보내고</t>
        </r>
        <r>
          <rPr>
            <b/>
            <sz val="9"/>
            <color indexed="81"/>
            <rFont val="Tahoma"/>
            <family val="2"/>
          </rPr>
          <t xml:space="preserve">  200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돌봄활동을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마치면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거점으로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>+25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=30</t>
        </r>
        <r>
          <rPr>
            <b/>
            <sz val="9"/>
            <color indexed="81"/>
            <rFont val="돋움"/>
            <family val="3"/>
            <charset val="129"/>
          </rPr>
          <t xml:space="preserve">만원보냄
</t>
        </r>
      </text>
    </comment>
    <comment ref="H33" authorId="0" shapeId="0" xr:uid="{9D8C2B1B-1CD7-4C3F-940F-04E482E692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지침에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실시시간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지급
</t>
        </r>
      </text>
    </comment>
    <comment ref="H34" authorId="0" shapeId="0" xr:uid="{33DE92DA-C5D6-4150-A07D-B9616578586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이라고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되어있음
</t>
        </r>
      </text>
    </comment>
    <comment ref="H65" authorId="0" shapeId="0" xr:uid="{2BC35828-4935-4D27-9F86-BAB02BB05456}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
직원격려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외부기관방문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 xml:space="preserve">기관카드사용
</t>
        </r>
      </text>
    </comment>
    <comment ref="H73" authorId="0" shapeId="0" xr:uid="{0D49247A-CA67-4E1D-9904-75AD34EF3158}">
      <text>
        <r>
          <rPr>
            <b/>
            <sz val="9"/>
            <color indexed="81"/>
            <rFont val="돋움"/>
            <family val="3"/>
            <charset val="129"/>
          </rPr>
          <t>이용료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카드결제시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입금되는데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수수료를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말함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<sst xmlns="http://schemas.openxmlformats.org/spreadsheetml/2006/main" count="216" uniqueCount="151">
  <si>
    <t>사업비</t>
    <phoneticPr fontId="8" type="noConversion"/>
  </si>
  <si>
    <t>운영비</t>
    <phoneticPr fontId="8" type="noConversion"/>
  </si>
  <si>
    <t>업무추진비</t>
    <phoneticPr fontId="8" type="noConversion"/>
  </si>
  <si>
    <t>인건비</t>
    <phoneticPr fontId="8" type="noConversion"/>
  </si>
  <si>
    <t>[1] 세입세출 총괄</t>
    <phoneticPr fontId="17" type="noConversion"/>
  </si>
  <si>
    <t>(단위: 천원)</t>
    <phoneticPr fontId="17" type="noConversion"/>
  </si>
  <si>
    <t>세 입</t>
    <phoneticPr fontId="17" type="noConversion"/>
  </si>
  <si>
    <t>세 출</t>
    <phoneticPr fontId="17" type="noConversion"/>
  </si>
  <si>
    <t>관</t>
    <phoneticPr fontId="17" type="noConversion"/>
  </si>
  <si>
    <t>항</t>
    <phoneticPr fontId="17" type="noConversion"/>
  </si>
  <si>
    <t>목</t>
    <phoneticPr fontId="17" type="noConversion"/>
  </si>
  <si>
    <t>증감(B)-(A)</t>
    <phoneticPr fontId="17" type="noConversion"/>
  </si>
  <si>
    <t>증감(B)-(A)</t>
    <phoneticPr fontId="17" type="noConversion"/>
  </si>
  <si>
    <t>금액</t>
    <phoneticPr fontId="17" type="noConversion"/>
  </si>
  <si>
    <t>비율(%)</t>
    <phoneticPr fontId="17" type="noConversion"/>
  </si>
  <si>
    <t>비율(%)</t>
    <phoneticPr fontId="17" type="noConversion"/>
  </si>
  <si>
    <t>총계</t>
    <phoneticPr fontId="17" type="noConversion"/>
  </si>
  <si>
    <t>항</t>
    <phoneticPr fontId="17" type="noConversion"/>
  </si>
  <si>
    <t>[2] 세입내역</t>
    <phoneticPr fontId="17" type="noConversion"/>
  </si>
  <si>
    <t>(단위 : 천원)</t>
    <phoneticPr fontId="17" type="noConversion"/>
  </si>
  <si>
    <t xml:space="preserve"> 산 출 내 역</t>
    <phoneticPr fontId="17" type="noConversion"/>
  </si>
  <si>
    <t>금액</t>
    <phoneticPr fontId="17" type="noConversion"/>
  </si>
  <si>
    <t>소계</t>
    <phoneticPr fontId="8" type="noConversion"/>
  </si>
  <si>
    <t>보조금수입</t>
    <phoneticPr fontId="8" type="noConversion"/>
  </si>
  <si>
    <t>보조금수입</t>
    <phoneticPr fontId="8" type="noConversion"/>
  </si>
  <si>
    <t>국고보조금</t>
    <phoneticPr fontId="8" type="noConversion"/>
  </si>
  <si>
    <t>시도보조금</t>
    <phoneticPr fontId="8" type="noConversion"/>
  </si>
  <si>
    <t>시군구보조금</t>
    <phoneticPr fontId="8" type="noConversion"/>
  </si>
  <si>
    <t>소계</t>
    <phoneticPr fontId="8" type="noConversion"/>
  </si>
  <si>
    <t>증감(B)-(A)</t>
    <phoneticPr fontId="17" type="noConversion"/>
  </si>
  <si>
    <t>변 경 사 유</t>
    <phoneticPr fontId="8" type="noConversion"/>
  </si>
  <si>
    <t>시도보조금</t>
    <phoneticPr fontId="8" type="noConversion"/>
  </si>
  <si>
    <t>시군구보조금</t>
    <phoneticPr fontId="8" type="noConversion"/>
  </si>
  <si>
    <t>[2] 세출내역</t>
    <phoneticPr fontId="17" type="noConversion"/>
  </si>
  <si>
    <t>아이돌보미관리비</t>
    <phoneticPr fontId="8" type="noConversion"/>
  </si>
  <si>
    <t>아이돌보미보험료-배상보험료</t>
    <phoneticPr fontId="8" type="noConversion"/>
  </si>
  <si>
    <t>아이돌보미보험료-4대보험</t>
    <phoneticPr fontId="8" type="noConversion"/>
  </si>
  <si>
    <t>아이돌보미보험료-퇴직금</t>
    <phoneticPr fontId="8" type="noConversion"/>
  </si>
  <si>
    <t>현장실습-아이돌보미</t>
    <phoneticPr fontId="8" type="noConversion"/>
  </si>
  <si>
    <t>교육비-양성</t>
    <phoneticPr fontId="8" type="noConversion"/>
  </si>
  <si>
    <t>교육비-보수</t>
    <phoneticPr fontId="8" type="noConversion"/>
  </si>
  <si>
    <t>교육비-집담회</t>
    <phoneticPr fontId="8" type="noConversion"/>
  </si>
  <si>
    <t>건강검진-아이돌보미</t>
    <phoneticPr fontId="8" type="noConversion"/>
  </si>
  <si>
    <t>아이돌보미복무및처우관리지원</t>
    <phoneticPr fontId="17" type="noConversion"/>
  </si>
  <si>
    <t>급여-전담인력</t>
    <phoneticPr fontId="17" type="noConversion"/>
  </si>
  <si>
    <t>급여-명절수당</t>
    <phoneticPr fontId="8" type="noConversion"/>
  </si>
  <si>
    <t>4대보험료</t>
    <phoneticPr fontId="8" type="noConversion"/>
  </si>
  <si>
    <t>퇴직금</t>
    <phoneticPr fontId="8" type="noConversion"/>
  </si>
  <si>
    <t>행정부대경비</t>
    <phoneticPr fontId="8" type="noConversion"/>
  </si>
  <si>
    <t>일반수용비</t>
    <phoneticPr fontId="8" type="noConversion"/>
  </si>
  <si>
    <t>공과금.제세</t>
    <phoneticPr fontId="8" type="noConversion"/>
  </si>
  <si>
    <t>여비출장비</t>
    <phoneticPr fontId="8" type="noConversion"/>
  </si>
  <si>
    <t>시간제서비스</t>
    <phoneticPr fontId="17" type="noConversion"/>
  </si>
  <si>
    <t>영아종일제</t>
    <phoneticPr fontId="8" type="noConversion"/>
  </si>
  <si>
    <t>교통비</t>
    <phoneticPr fontId="8" type="noConversion"/>
  </si>
  <si>
    <t>명절수당</t>
    <phoneticPr fontId="8" type="noConversion"/>
  </si>
  <si>
    <t>연차수당</t>
    <phoneticPr fontId="8" type="noConversion"/>
  </si>
  <si>
    <t>코로나환급금</t>
    <phoneticPr fontId="8" type="noConversion"/>
  </si>
  <si>
    <t>코로나19로 인한 이용자 환급금</t>
  </si>
  <si>
    <t>사업비</t>
    <phoneticPr fontId="8" type="noConversion"/>
  </si>
  <si>
    <t>운영비</t>
    <phoneticPr fontId="8" type="noConversion"/>
  </si>
  <si>
    <t>활동수당(법정수당)
시간제서비스</t>
    <phoneticPr fontId="17" type="noConversion"/>
  </si>
  <si>
    <t>활동수당(법정수당)
영아종일제</t>
    <phoneticPr fontId="8" type="noConversion"/>
  </si>
  <si>
    <t>관리수당(센터장)
아이돌보미복무및처우관리지원</t>
    <phoneticPr fontId="17" type="noConversion"/>
  </si>
  <si>
    <t>아이돌봄수당</t>
    <phoneticPr fontId="8" type="noConversion"/>
  </si>
  <si>
    <t>정읍시건강가정지원센터</t>
    <phoneticPr fontId="8" type="noConversion"/>
  </si>
  <si>
    <t>(아이돌봄지원사업)</t>
    <phoneticPr fontId="8" type="noConversion"/>
  </si>
  <si>
    <t>교육비-보수(기관)</t>
    <phoneticPr fontId="8" type="noConversion"/>
  </si>
  <si>
    <t>교육비-법정교육</t>
    <phoneticPr fontId="8" type="noConversion"/>
  </si>
  <si>
    <t>교육비-법정</t>
    <phoneticPr fontId="8" type="noConversion"/>
  </si>
  <si>
    <t>소통강화</t>
    <phoneticPr fontId="8" type="noConversion"/>
  </si>
  <si>
    <t>사무용품비 100,000원*12개월</t>
    <phoneticPr fontId="8" type="noConversion"/>
  </si>
  <si>
    <t>소통강화</t>
    <phoneticPr fontId="8" type="noConversion"/>
  </si>
  <si>
    <t xml:space="preserve"> 200,000원*12개월</t>
    <phoneticPr fontId="8" type="noConversion"/>
  </si>
  <si>
    <t>3명*120,000원*12개월</t>
    <phoneticPr fontId="8" type="noConversion"/>
  </si>
  <si>
    <t>가맹점수수료 7,000원*12개월</t>
    <phoneticPr fontId="8" type="noConversion"/>
  </si>
  <si>
    <t>추가수당(복지수당,부가경비)</t>
    <phoneticPr fontId="8" type="noConversion"/>
  </si>
  <si>
    <t>2022년도 세입 세출예산 총괄표</t>
    <phoneticPr fontId="17" type="noConversion"/>
  </si>
  <si>
    <t>2021년
예산(A)</t>
    <phoneticPr fontId="17" type="noConversion"/>
  </si>
  <si>
    <t>2022년
예산(B)</t>
    <phoneticPr fontId="17" type="noConversion"/>
  </si>
  <si>
    <t>2021년
예산(A)</t>
    <phoneticPr fontId="8" type="noConversion"/>
  </si>
  <si>
    <t>2022년
예산(B)</t>
    <phoneticPr fontId="8" type="noConversion"/>
  </si>
  <si>
    <t xml:space="preserve">                                                2022년 세출예산 산출내역서</t>
    <phoneticPr fontId="8" type="noConversion"/>
  </si>
  <si>
    <t>활동수당부족분</t>
    <phoneticPr fontId="8" type="noConversion"/>
  </si>
  <si>
    <t>정액급식비</t>
    <phoneticPr fontId="8" type="noConversion"/>
  </si>
  <si>
    <t>3명*100,000원*12개월</t>
    <phoneticPr fontId="8" type="noConversion"/>
  </si>
  <si>
    <t>가형 a형 44명*8,968원*840시간</t>
    <phoneticPr fontId="8" type="noConversion"/>
  </si>
  <si>
    <t>가형 b형 18명*7,913원*840시간</t>
    <phoneticPr fontId="8" type="noConversion"/>
  </si>
  <si>
    <t>나형 a형 19명*6,330원*840시간</t>
    <phoneticPr fontId="8" type="noConversion"/>
  </si>
  <si>
    <t>나형 b형 18명*2,110원*840시간</t>
    <phoneticPr fontId="8" type="noConversion"/>
  </si>
  <si>
    <t>가형 2명*8,968원*200시간*12개월</t>
    <phoneticPr fontId="8" type="noConversion"/>
  </si>
  <si>
    <t>나형 1명*6,330원*200시간*12개월</t>
    <phoneticPr fontId="8" type="noConversion"/>
  </si>
  <si>
    <t>다형 1명*1,583원*200시간*12개월</t>
    <phoneticPr fontId="8" type="noConversion"/>
  </si>
  <si>
    <t>6,000,000*12개월</t>
    <phoneticPr fontId="8" type="noConversion"/>
  </si>
  <si>
    <t>5년이상 24명*800,000원</t>
    <phoneticPr fontId="8" type="noConversion"/>
  </si>
  <si>
    <t>3년이상 17명*600,000원</t>
    <phoneticPr fontId="8" type="noConversion"/>
  </si>
  <si>
    <t>1년이상 15.5명*400,000원</t>
    <phoneticPr fontId="8" type="noConversion"/>
  </si>
  <si>
    <t>1년미만 4.5명*200,000원</t>
    <phoneticPr fontId="8" type="noConversion"/>
  </si>
  <si>
    <t>시급 9,170*활동시간</t>
    <phoneticPr fontId="8" type="noConversion"/>
  </si>
  <si>
    <t>시급 9,170*연차발생시간</t>
    <phoneticPr fontId="8" type="noConversion"/>
  </si>
  <si>
    <t>60명*12,000원</t>
    <phoneticPr fontId="8" type="noConversion"/>
  </si>
  <si>
    <t>65명*121,795원*12개월</t>
    <phoneticPr fontId="8" type="noConversion"/>
  </si>
  <si>
    <t>65명*116,667원*12개월</t>
    <phoneticPr fontId="8" type="noConversion"/>
  </si>
  <si>
    <t>돌보미 10,000원*100시간</t>
    <phoneticPr fontId="8" type="noConversion"/>
  </si>
  <si>
    <t>이용가정 10,000원*100시간</t>
    <phoneticPr fontId="8" type="noConversion"/>
  </si>
  <si>
    <t>신규돌보미 10명*5,000원*10시간</t>
    <phoneticPr fontId="8" type="noConversion"/>
  </si>
  <si>
    <t>양성교육비 10명*250,000원</t>
    <phoneticPr fontId="8" type="noConversion"/>
  </si>
  <si>
    <t>보수교육비(기관) 61명*180,000원</t>
    <phoneticPr fontId="8" type="noConversion"/>
  </si>
  <si>
    <t>법정교육65명*9,170원*3과목</t>
    <phoneticPr fontId="8" type="noConversion"/>
  </si>
  <si>
    <t xml:space="preserve"> 소통강화 프로그램</t>
    <phoneticPr fontId="8" type="noConversion"/>
  </si>
  <si>
    <t>노무관리</t>
    <phoneticPr fontId="8" type="noConversion"/>
  </si>
  <si>
    <t>전담1 6호봉 2,272,860원*60%*1회</t>
    <phoneticPr fontId="8" type="noConversion"/>
  </si>
  <si>
    <t>전담2 3호봉 2,027,010원*60%*1회</t>
    <phoneticPr fontId="8" type="noConversion"/>
  </si>
  <si>
    <t>전담2 4호봉 2,102,090원*60%*1회</t>
    <phoneticPr fontId="8" type="noConversion"/>
  </si>
  <si>
    <t>전담3 4호봉 2,102,090원*60%*1회</t>
    <phoneticPr fontId="8" type="noConversion"/>
  </si>
  <si>
    <t>전담3 5호봉 2,184,110원*60%*1회</t>
    <phoneticPr fontId="8" type="noConversion"/>
  </si>
  <si>
    <t>30,000원*12개월</t>
    <phoneticPr fontId="8" type="noConversion"/>
  </si>
  <si>
    <t>100,000원*12회</t>
    <phoneticPr fontId="8" type="noConversion"/>
  </si>
  <si>
    <t>전담1 5호봉 2,184,110원*2개월</t>
    <phoneticPr fontId="8" type="noConversion"/>
  </si>
  <si>
    <t>전담1 6호봉 2,272,860원*10개월</t>
    <phoneticPr fontId="8" type="noConversion"/>
  </si>
  <si>
    <t>전담2 3호봉 2,027,010원*4개월</t>
    <phoneticPr fontId="8" type="noConversion"/>
  </si>
  <si>
    <t>전담2 4호봉 2,102,090원*8개월</t>
    <phoneticPr fontId="8" type="noConversion"/>
  </si>
  <si>
    <t>전담3 4호봉 2,102,090원*2개월</t>
    <phoneticPr fontId="8" type="noConversion"/>
  </si>
  <si>
    <t>전담3 5호봉 2,184,110원*10개월</t>
    <phoneticPr fontId="8" type="noConversion"/>
  </si>
  <si>
    <t>전담1 5호봉 2,184,110원*60%*1회</t>
    <phoneticPr fontId="8" type="noConversion"/>
  </si>
  <si>
    <t>홍보비 1,000,000원</t>
    <phoneticPr fontId="8" type="noConversion"/>
  </si>
  <si>
    <t>소모품비 100,000원*12개월</t>
    <phoneticPr fontId="8" type="noConversion"/>
  </si>
  <si>
    <t>인쇄비 1,000,000원</t>
    <phoneticPr fontId="8" type="noConversion"/>
  </si>
  <si>
    <t>코로나방역용품 5,000,000</t>
    <phoneticPr fontId="8" type="noConversion"/>
  </si>
  <si>
    <t>전화요금 170,000원*12개월</t>
    <phoneticPr fontId="8" type="noConversion"/>
  </si>
  <si>
    <t>문자요금 70,000원*12개월</t>
    <phoneticPr fontId="8" type="noConversion"/>
  </si>
  <si>
    <t>연말정산수수료 1회</t>
    <phoneticPr fontId="8" type="noConversion"/>
  </si>
  <si>
    <t>퇴직연금수수료 1회</t>
    <phoneticPr fontId="8" type="noConversion"/>
  </si>
  <si>
    <t xml:space="preserve"> 165,000원*12개월</t>
    <phoneticPr fontId="8" type="noConversion"/>
  </si>
  <si>
    <t>보수교육비-아이돌보미</t>
    <phoneticPr fontId="8" type="noConversion"/>
  </si>
  <si>
    <t>9,170원*16시간*71명</t>
    <phoneticPr fontId="8" type="noConversion"/>
  </si>
  <si>
    <t>30,000원*71명</t>
    <phoneticPr fontId="8" type="noConversion"/>
  </si>
  <si>
    <t>집담회 및 정서치유 4회기, 11시간</t>
    <phoneticPr fontId="8" type="noConversion"/>
  </si>
  <si>
    <t>기타보조금(건강검진비)</t>
    <phoneticPr fontId="8" type="noConversion"/>
  </si>
  <si>
    <t>기타보조금(보수교육비)</t>
    <phoneticPr fontId="8" type="noConversion"/>
  </si>
  <si>
    <t>2022년도 민간위탁 세입세출 예산서</t>
    <phoneticPr fontId="8" type="noConversion"/>
  </si>
  <si>
    <t>2022년  세입예산 산출내역서</t>
    <phoneticPr fontId="8" type="noConversion"/>
  </si>
  <si>
    <t>다형 a,b형 16.78명*1,583원*840시간</t>
    <phoneticPr fontId="8" type="noConversion"/>
  </si>
  <si>
    <t>국민연금 315,180원*12개월</t>
    <phoneticPr fontId="8" type="noConversion"/>
  </si>
  <si>
    <t>건강보험 273,343원*12개월</t>
    <phoneticPr fontId="8" type="noConversion"/>
  </si>
  <si>
    <t>장기요양 33,553원*12개월</t>
    <phoneticPr fontId="8" type="noConversion"/>
  </si>
  <si>
    <t>고용보험 70,294원*12개월</t>
    <phoneticPr fontId="8" type="noConversion"/>
  </si>
  <si>
    <t>산재보험 54,680원*12개월</t>
    <phoneticPr fontId="8" type="noConversion"/>
  </si>
  <si>
    <t>전담1 225,079원*12개월</t>
    <phoneticPr fontId="8" type="noConversion"/>
  </si>
  <si>
    <t>전담2 208,632원*12개월</t>
    <phoneticPr fontId="8" type="noConversion"/>
  </si>
  <si>
    <t>전담3 217,069원*12개월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</si>
</sst>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#,##0_);[Red]\(#,##0\)"/>
    <numFmt numFmtId="178" formatCode="_-* #,##0.0_-;\-* #,##0.0_-;_-* &quot;-&quot;_-;_-@_-"/>
    <numFmt numFmtId="181" formatCode="_-[$₩-412]* #,##0_-;\-[$₩-412]* #,##0_-;_-[$₩-412]* &quot;-&quot;??_-;_-@_-"/>
    <numFmt numFmtId="182" formatCode="_-[$₩-412]* #,##0.00_-;\-[$₩-412]* #,##0.00_-;_-[$₩-412]* &quot;-&quot;??_-;_-@_-"/>
    <numFmt numFmtId="183" formatCode="_-* #,##0,_-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견명조"/>
      <family val="1"/>
      <charset val="129"/>
    </font>
    <font>
      <sz val="28"/>
      <name val="HY견명조"/>
      <family val="1"/>
      <charset val="129"/>
    </font>
    <font>
      <sz val="24"/>
      <name val="HY견명조"/>
      <family val="1"/>
      <charset val="129"/>
    </font>
    <font>
      <b/>
      <sz val="11"/>
      <name val="돋움"/>
      <family val="3"/>
      <charset val="129"/>
    </font>
    <font>
      <sz val="30"/>
      <name val="HY견명조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color rgb="FF000000"/>
      <name val="굴림체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3" fillId="0" borderId="0">
      <alignment vertical="center"/>
    </xf>
  </cellStyleXfs>
  <cellXfs count="283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9" xfId="0" applyFont="1" applyBorder="1">
      <alignment vertical="center"/>
    </xf>
    <xf numFmtId="0" fontId="14" fillId="0" borderId="35" xfId="0" applyFont="1" applyBorder="1">
      <alignment vertical="center"/>
    </xf>
    <xf numFmtId="0" fontId="6" fillId="0" borderId="0" xfId="4">
      <alignment vertical="center"/>
    </xf>
    <xf numFmtId="9" fontId="5" fillId="0" borderId="4" xfId="6" applyFont="1" applyBorder="1">
      <alignment vertical="center"/>
    </xf>
    <xf numFmtId="0" fontId="19" fillId="2" borderId="40" xfId="4" applyFont="1" applyFill="1" applyBorder="1" applyAlignment="1">
      <alignment horizontal="center" vertical="center"/>
    </xf>
    <xf numFmtId="41" fontId="19" fillId="2" borderId="1" xfId="5" applyFont="1" applyFill="1" applyBorder="1">
      <alignment vertical="center"/>
    </xf>
    <xf numFmtId="41" fontId="19" fillId="2" borderId="1" xfId="5" applyFont="1" applyFill="1" applyBorder="1" applyAlignment="1">
      <alignment horizontal="center" vertical="center"/>
    </xf>
    <xf numFmtId="9" fontId="15" fillId="2" borderId="4" xfId="6" applyFont="1" applyFill="1" applyBorder="1">
      <alignment vertical="center"/>
    </xf>
    <xf numFmtId="9" fontId="19" fillId="2" borderId="4" xfId="6" applyFont="1" applyFill="1" applyBorder="1">
      <alignment vertical="center"/>
    </xf>
    <xf numFmtId="41" fontId="16" fillId="0" borderId="1" xfId="5" applyFont="1" applyBorder="1" applyAlignment="1">
      <alignment horizontal="left" vertical="center"/>
    </xf>
    <xf numFmtId="41" fontId="15" fillId="2" borderId="1" xfId="5" applyFont="1" applyFill="1" applyBorder="1" applyAlignment="1">
      <alignment horizontal="center" vertical="center"/>
    </xf>
    <xf numFmtId="41" fontId="19" fillId="2" borderId="1" xfId="5" applyFont="1" applyFill="1" applyBorder="1" applyAlignment="1">
      <alignment horizontal="center" vertical="center" shrinkToFit="1"/>
    </xf>
    <xf numFmtId="0" fontId="26" fillId="0" borderId="0" xfId="4" applyFont="1">
      <alignment vertical="center"/>
    </xf>
    <xf numFmtId="0" fontId="19" fillId="0" borderId="0" xfId="4" applyFont="1">
      <alignment vertical="center"/>
    </xf>
    <xf numFmtId="0" fontId="6" fillId="0" borderId="0" xfId="4" applyBorder="1" applyAlignment="1">
      <alignment horizontal="center" vertical="top"/>
    </xf>
    <xf numFmtId="0" fontId="6" fillId="0" borderId="0" xfId="4" applyBorder="1" applyAlignment="1">
      <alignment horizontal="center" vertical="center" wrapText="1"/>
    </xf>
    <xf numFmtId="41" fontId="0" fillId="0" borderId="0" xfId="5" applyFont="1" applyBorder="1">
      <alignment vertical="center"/>
    </xf>
    <xf numFmtId="178" fontId="0" fillId="0" borderId="0" xfId="5" applyNumberFormat="1" applyFont="1" applyBorder="1">
      <alignment vertical="center"/>
    </xf>
    <xf numFmtId="0" fontId="18" fillId="0" borderId="0" xfId="4" applyFont="1" applyBorder="1" applyAlignment="1">
      <alignment horizontal="left" vertical="center"/>
    </xf>
    <xf numFmtId="0" fontId="6" fillId="0" borderId="0" xfId="4" applyBorder="1" applyAlignment="1">
      <alignment horizontal="left" vertical="center"/>
    </xf>
    <xf numFmtId="181" fontId="6" fillId="0" borderId="0" xfId="4" applyNumberFormat="1" applyBorder="1" applyAlignment="1">
      <alignment vertical="center"/>
    </xf>
    <xf numFmtId="182" fontId="6" fillId="0" borderId="0" xfId="4" applyNumberFormat="1" applyBorder="1" applyAlignment="1">
      <alignment vertical="center"/>
    </xf>
    <xf numFmtId="0" fontId="6" fillId="0" borderId="34" xfId="4" applyBorder="1" applyAlignment="1">
      <alignment vertical="center"/>
    </xf>
    <xf numFmtId="3" fontId="6" fillId="0" borderId="34" xfId="4" applyNumberFormat="1" applyBorder="1" applyAlignment="1">
      <alignment vertical="center"/>
    </xf>
    <xf numFmtId="0" fontId="14" fillId="0" borderId="56" xfId="0" applyFont="1" applyBorder="1">
      <alignment vertical="center"/>
    </xf>
    <xf numFmtId="177" fontId="14" fillId="3" borderId="66" xfId="4" applyNumberFormat="1" applyFont="1" applyFill="1" applyBorder="1" applyAlignment="1">
      <alignment horizontal="right" vertical="center" wrapText="1"/>
    </xf>
    <xf numFmtId="177" fontId="14" fillId="3" borderId="67" xfId="4" applyNumberFormat="1" applyFont="1" applyFill="1" applyBorder="1" applyAlignment="1">
      <alignment horizontal="right" vertical="center" wrapText="1"/>
    </xf>
    <xf numFmtId="41" fontId="16" fillId="0" borderId="36" xfId="5" applyFont="1" applyBorder="1" applyAlignment="1">
      <alignment horizontal="left" vertical="center" wrapText="1"/>
    </xf>
    <xf numFmtId="0" fontId="6" fillId="0" borderId="0" xfId="4" applyBorder="1">
      <alignment vertical="center"/>
    </xf>
    <xf numFmtId="0" fontId="30" fillId="3" borderId="62" xfId="4" applyFont="1" applyFill="1" applyBorder="1" applyAlignment="1">
      <alignment horizontal="left" vertical="center" wrapText="1"/>
    </xf>
    <xf numFmtId="0" fontId="30" fillId="3" borderId="68" xfId="4" applyFont="1" applyFill="1" applyBorder="1" applyAlignment="1">
      <alignment horizontal="left" vertical="center" wrapText="1"/>
    </xf>
    <xf numFmtId="0" fontId="29" fillId="3" borderId="70" xfId="4" applyFont="1" applyFill="1" applyBorder="1" applyAlignment="1">
      <alignment vertical="center" wrapText="1"/>
    </xf>
    <xf numFmtId="0" fontId="29" fillId="3" borderId="69" xfId="4" applyFont="1" applyFill="1" applyBorder="1" applyAlignment="1">
      <alignment vertical="center" wrapText="1"/>
    </xf>
    <xf numFmtId="0" fontId="14" fillId="0" borderId="72" xfId="0" applyFont="1" applyBorder="1">
      <alignment vertical="center"/>
    </xf>
    <xf numFmtId="0" fontId="16" fillId="3" borderId="59" xfId="4" applyFont="1" applyFill="1" applyBorder="1" applyAlignment="1">
      <alignment horizontal="left" vertical="center"/>
    </xf>
    <xf numFmtId="41" fontId="16" fillId="3" borderId="73" xfId="1" applyFont="1" applyFill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183" fontId="15" fillId="2" borderId="2" xfId="5" applyNumberFormat="1" applyFont="1" applyFill="1" applyBorder="1">
      <alignment vertical="center"/>
    </xf>
    <xf numFmtId="183" fontId="21" fillId="3" borderId="62" xfId="4" applyNumberFormat="1" applyFont="1" applyFill="1" applyBorder="1" applyAlignment="1">
      <alignment horizontal="right" vertical="center" wrapText="1"/>
    </xf>
    <xf numFmtId="183" fontId="16" fillId="0" borderId="2" xfId="5" applyNumberFormat="1" applyFont="1" applyFill="1" applyBorder="1">
      <alignment vertical="center"/>
    </xf>
    <xf numFmtId="183" fontId="23" fillId="2" borderId="62" xfId="4" applyNumberFormat="1" applyFont="1" applyFill="1" applyBorder="1" applyAlignment="1">
      <alignment horizontal="right" vertical="center" wrapText="1"/>
    </xf>
    <xf numFmtId="183" fontId="16" fillId="0" borderId="1" xfId="5" applyNumberFormat="1" applyFont="1" applyBorder="1" applyAlignment="1">
      <alignment horizontal="right" vertical="center"/>
    </xf>
    <xf numFmtId="0" fontId="16" fillId="3" borderId="72" xfId="4" applyFont="1" applyFill="1" applyBorder="1" applyAlignment="1">
      <alignment vertical="center"/>
    </xf>
    <xf numFmtId="9" fontId="5" fillId="0" borderId="14" xfId="6" applyFont="1" applyBorder="1">
      <alignment vertical="center"/>
    </xf>
    <xf numFmtId="177" fontId="14" fillId="0" borderId="40" xfId="4" applyNumberFormat="1" applyFont="1" applyBorder="1" applyAlignment="1">
      <alignment horizontal="right" vertical="center" wrapText="1"/>
    </xf>
    <xf numFmtId="183" fontId="15" fillId="2" borderId="2" xfId="5" applyNumberFormat="1" applyFont="1" applyFill="1" applyBorder="1" applyAlignment="1">
      <alignment horizontal="right" vertical="center"/>
    </xf>
    <xf numFmtId="183" fontId="14" fillId="0" borderId="62" xfId="4" applyNumberFormat="1" applyFont="1" applyBorder="1" applyAlignment="1">
      <alignment horizontal="right" vertical="center" wrapText="1"/>
    </xf>
    <xf numFmtId="183" fontId="14" fillId="3" borderId="62" xfId="4" applyNumberFormat="1" applyFont="1" applyFill="1" applyBorder="1" applyAlignment="1">
      <alignment horizontal="right" vertical="center" wrapText="1"/>
    </xf>
    <xf numFmtId="183" fontId="5" fillId="0" borderId="2" xfId="5" applyNumberFormat="1" applyFont="1" applyBorder="1">
      <alignment vertical="center"/>
    </xf>
    <xf numFmtId="183" fontId="19" fillId="2" borderId="1" xfId="5" applyNumberFormat="1" applyFont="1" applyFill="1" applyBorder="1" applyAlignment="1">
      <alignment vertical="center"/>
    </xf>
    <xf numFmtId="183" fontId="19" fillId="2" borderId="1" xfId="5" applyNumberFormat="1" applyFont="1" applyFill="1" applyBorder="1">
      <alignment vertical="center"/>
    </xf>
    <xf numFmtId="183" fontId="16" fillId="0" borderId="1" xfId="5" applyNumberFormat="1" applyFont="1" applyBorder="1">
      <alignment vertical="center"/>
    </xf>
    <xf numFmtId="183" fontId="16" fillId="0" borderId="36" xfId="5" applyNumberFormat="1" applyFont="1" applyBorder="1" applyAlignment="1">
      <alignment horizontal="right" vertical="center"/>
    </xf>
    <xf numFmtId="183" fontId="16" fillId="0" borderId="8" xfId="5" applyNumberFormat="1" applyFont="1" applyFill="1" applyBorder="1">
      <alignment vertical="center"/>
    </xf>
    <xf numFmtId="183" fontId="14" fillId="0" borderId="68" xfId="4" applyNumberFormat="1" applyFont="1" applyBorder="1" applyAlignment="1">
      <alignment horizontal="right" vertical="center" wrapText="1"/>
    </xf>
    <xf numFmtId="183" fontId="5" fillId="0" borderId="8" xfId="5" applyNumberFormat="1" applyFont="1" applyBorder="1">
      <alignment vertical="center"/>
    </xf>
    <xf numFmtId="183" fontId="22" fillId="2" borderId="62" xfId="4" applyNumberFormat="1" applyFont="1" applyFill="1" applyBorder="1" applyAlignment="1">
      <alignment horizontal="center" vertical="center" wrapText="1"/>
    </xf>
    <xf numFmtId="183" fontId="19" fillId="2" borderId="82" xfId="5" applyNumberFormat="1" applyFont="1" applyFill="1" applyBorder="1">
      <alignment vertical="center"/>
    </xf>
    <xf numFmtId="41" fontId="6" fillId="3" borderId="28" xfId="1" applyFont="1" applyFill="1" applyBorder="1" applyAlignment="1">
      <alignment vertical="center"/>
    </xf>
    <xf numFmtId="41" fontId="6" fillId="3" borderId="0" xfId="1" applyFont="1" applyFill="1" applyBorder="1" applyAlignment="1">
      <alignment vertical="center"/>
    </xf>
    <xf numFmtId="41" fontId="6" fillId="3" borderId="0" xfId="1" applyFont="1" applyFill="1">
      <alignment vertical="center"/>
    </xf>
    <xf numFmtId="41" fontId="14" fillId="0" borderId="40" xfId="0" applyNumberFormat="1" applyFont="1" applyBorder="1" applyAlignment="1">
      <alignment vertical="center" wrapText="1"/>
    </xf>
    <xf numFmtId="9" fontId="19" fillId="3" borderId="4" xfId="6" applyFont="1" applyFill="1" applyBorder="1">
      <alignment vertical="center"/>
    </xf>
    <xf numFmtId="9" fontId="19" fillId="3" borderId="14" xfId="6" applyFont="1" applyFill="1" applyBorder="1">
      <alignment vertical="center"/>
    </xf>
    <xf numFmtId="183" fontId="15" fillId="2" borderId="45" xfId="5" applyNumberFormat="1" applyFont="1" applyFill="1" applyBorder="1">
      <alignment vertical="center"/>
    </xf>
    <xf numFmtId="41" fontId="12" fillId="2" borderId="10" xfId="5" applyFont="1" applyFill="1" applyBorder="1" applyAlignment="1">
      <alignment vertical="center"/>
    </xf>
    <xf numFmtId="183" fontId="19" fillId="2" borderId="59" xfId="5" applyNumberFormat="1" applyFont="1" applyFill="1" applyBorder="1">
      <alignment vertical="center"/>
    </xf>
    <xf numFmtId="183" fontId="21" fillId="3" borderId="86" xfId="4" applyNumberFormat="1" applyFont="1" applyFill="1" applyBorder="1" applyAlignment="1">
      <alignment horizontal="right" vertical="center" wrapText="1"/>
    </xf>
    <xf numFmtId="183" fontId="21" fillId="3" borderId="97" xfId="4" applyNumberFormat="1" applyFont="1" applyFill="1" applyBorder="1" applyAlignment="1">
      <alignment horizontal="right" vertical="center" wrapText="1"/>
    </xf>
    <xf numFmtId="0" fontId="30" fillId="3" borderId="89" xfId="4" applyFont="1" applyFill="1" applyBorder="1" applyAlignment="1">
      <alignment horizontal="left" vertical="center" wrapText="1"/>
    </xf>
    <xf numFmtId="0" fontId="30" fillId="3" borderId="101" xfId="4" applyFont="1" applyFill="1" applyBorder="1" applyAlignment="1">
      <alignment vertical="center" wrapText="1"/>
    </xf>
    <xf numFmtId="0" fontId="30" fillId="3" borderId="100" xfId="4" applyFont="1" applyFill="1" applyBorder="1" applyAlignment="1">
      <alignment horizontal="left" vertical="center" wrapText="1"/>
    </xf>
    <xf numFmtId="183" fontId="16" fillId="3" borderId="2" xfId="5" applyNumberFormat="1" applyFont="1" applyFill="1" applyBorder="1">
      <alignment vertical="center"/>
    </xf>
    <xf numFmtId="183" fontId="16" fillId="3" borderId="1" xfId="5" applyNumberFormat="1" applyFont="1" applyFill="1" applyBorder="1" applyAlignment="1">
      <alignment horizontal="right" vertical="center"/>
    </xf>
    <xf numFmtId="0" fontId="32" fillId="0" borderId="72" xfId="0" applyFont="1" applyBorder="1">
      <alignment vertical="center"/>
    </xf>
    <xf numFmtId="0" fontId="32" fillId="0" borderId="25" xfId="0" applyFont="1" applyBorder="1" applyAlignment="1">
      <alignment vertical="center" wrapText="1"/>
    </xf>
    <xf numFmtId="0" fontId="31" fillId="3" borderId="89" xfId="4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19" fillId="2" borderId="45" xfId="4" applyFont="1" applyFill="1" applyBorder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41" fontId="19" fillId="0" borderId="12" xfId="5" applyFont="1" applyBorder="1" applyAlignment="1">
      <alignment horizontal="center" vertical="top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183" fontId="21" fillId="3" borderId="98" xfId="4" applyNumberFormat="1" applyFont="1" applyFill="1" applyBorder="1" applyAlignment="1">
      <alignment horizontal="right" vertical="center" wrapText="1"/>
    </xf>
    <xf numFmtId="0" fontId="14" fillId="0" borderId="40" xfId="0" applyFont="1" applyBorder="1">
      <alignment vertical="center"/>
    </xf>
    <xf numFmtId="0" fontId="30" fillId="3" borderId="106" xfId="4" applyFont="1" applyFill="1" applyBorder="1" applyAlignment="1">
      <alignment horizontal="left" vertical="center" wrapText="1"/>
    </xf>
    <xf numFmtId="183" fontId="16" fillId="3" borderId="42" xfId="5" applyNumberFormat="1" applyFont="1" applyFill="1" applyBorder="1" applyAlignment="1">
      <alignment horizontal="right" vertical="center"/>
    </xf>
    <xf numFmtId="0" fontId="33" fillId="3" borderId="42" xfId="0" applyFont="1" applyFill="1" applyBorder="1" applyAlignment="1">
      <alignment horizontal="left" vertical="center" wrapText="1"/>
    </xf>
    <xf numFmtId="0" fontId="32" fillId="0" borderId="105" xfId="0" applyFont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41" fontId="32" fillId="0" borderId="25" xfId="0" applyNumberFormat="1" applyFont="1" applyBorder="1" applyAlignment="1">
      <alignment vertical="center"/>
    </xf>
    <xf numFmtId="176" fontId="28" fillId="0" borderId="0" xfId="0" applyNumberFormat="1" applyFont="1" applyFill="1" applyBorder="1" applyAlignment="1"/>
    <xf numFmtId="9" fontId="19" fillId="3" borderId="10" xfId="6" applyFont="1" applyFill="1" applyBorder="1">
      <alignment vertical="center"/>
    </xf>
    <xf numFmtId="0" fontId="19" fillId="2" borderId="45" xfId="4" applyFont="1" applyFill="1" applyBorder="1" applyAlignment="1">
      <alignment horizontal="center" vertical="center"/>
    </xf>
    <xf numFmtId="41" fontId="19" fillId="0" borderId="12" xfId="5" applyFont="1" applyBorder="1" applyAlignment="1">
      <alignment horizontal="center" vertical="top"/>
    </xf>
    <xf numFmtId="41" fontId="16" fillId="3" borderId="42" xfId="1" applyFont="1" applyFill="1" applyBorder="1" applyAlignment="1">
      <alignment horizontal="left" vertical="center"/>
    </xf>
    <xf numFmtId="41" fontId="16" fillId="3" borderId="28" xfId="1" applyFont="1" applyFill="1" applyBorder="1" applyAlignment="1">
      <alignment vertical="center"/>
    </xf>
    <xf numFmtId="0" fontId="6" fillId="3" borderId="42" xfId="4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6" fillId="3" borderId="0" xfId="4" applyFill="1" applyAlignment="1">
      <alignment horizontal="left" vertical="center"/>
    </xf>
    <xf numFmtId="41" fontId="7" fillId="0" borderId="108" xfId="5" applyFont="1" applyFill="1" applyBorder="1" applyAlignment="1">
      <alignment horizontal="center" vertical="top"/>
    </xf>
    <xf numFmtId="41" fontId="16" fillId="3" borderId="59" xfId="1" applyFont="1" applyFill="1" applyBorder="1" applyAlignment="1">
      <alignment horizontal="left" vertical="center"/>
    </xf>
    <xf numFmtId="9" fontId="15" fillId="2" borderId="45" xfId="6" applyFont="1" applyFill="1" applyBorder="1">
      <alignment vertical="center"/>
    </xf>
    <xf numFmtId="9" fontId="19" fillId="2" borderId="10" xfId="6" applyFont="1" applyFill="1" applyBorder="1">
      <alignment vertical="center"/>
    </xf>
    <xf numFmtId="9" fontId="22" fillId="3" borderId="109" xfId="6" applyFont="1" applyFill="1" applyBorder="1" applyAlignment="1">
      <alignment horizontal="right" vertical="center" wrapText="1"/>
    </xf>
    <xf numFmtId="41" fontId="33" fillId="3" borderId="42" xfId="0" applyNumberFormat="1" applyFont="1" applyFill="1" applyBorder="1" applyAlignment="1">
      <alignment horizontal="left" vertical="center" wrapText="1"/>
    </xf>
    <xf numFmtId="41" fontId="33" fillId="3" borderId="28" xfId="1" applyFont="1" applyFill="1" applyBorder="1">
      <alignment vertical="center"/>
    </xf>
    <xf numFmtId="0" fontId="16" fillId="3" borderId="42" xfId="4" applyFont="1" applyFill="1" applyBorder="1" applyAlignment="1">
      <alignment horizontal="left" vertical="center"/>
    </xf>
    <xf numFmtId="0" fontId="16" fillId="3" borderId="42" xfId="4" applyFont="1" applyFill="1" applyBorder="1" applyAlignment="1">
      <alignment horizontal="left" vertical="center" wrapText="1"/>
    </xf>
    <xf numFmtId="41" fontId="33" fillId="3" borderId="28" xfId="1" applyFont="1" applyFill="1" applyBorder="1" applyAlignment="1">
      <alignment horizontal="right" vertical="center"/>
    </xf>
    <xf numFmtId="0" fontId="18" fillId="3" borderId="42" xfId="0" applyFont="1" applyFill="1" applyBorder="1" applyAlignment="1">
      <alignment horizontal="left" vertical="center" wrapText="1"/>
    </xf>
    <xf numFmtId="41" fontId="18" fillId="3" borderId="28" xfId="1" applyFont="1" applyFill="1" applyBorder="1" applyAlignment="1">
      <alignment horizontal="right" vertical="center"/>
    </xf>
    <xf numFmtId="0" fontId="33" fillId="3" borderId="47" xfId="0" applyFont="1" applyFill="1" applyBorder="1" applyAlignment="1">
      <alignment horizontal="left" vertical="center" wrapText="1"/>
    </xf>
    <xf numFmtId="41" fontId="33" fillId="3" borderId="74" xfId="1" applyFont="1" applyFill="1" applyBorder="1" applyAlignment="1">
      <alignment horizontal="right" vertical="center"/>
    </xf>
    <xf numFmtId="41" fontId="16" fillId="0" borderId="27" xfId="5" applyFont="1" applyBorder="1" applyAlignment="1">
      <alignment horizontal="left" vertical="center"/>
    </xf>
    <xf numFmtId="183" fontId="14" fillId="3" borderId="75" xfId="4" applyNumberFormat="1" applyFont="1" applyFill="1" applyBorder="1" applyAlignment="1">
      <alignment horizontal="right" vertical="center" wrapText="1"/>
    </xf>
    <xf numFmtId="0" fontId="14" fillId="0" borderId="34" xfId="0" applyFont="1" applyBorder="1" applyAlignment="1">
      <alignment horizontal="center" vertical="center" wrapText="1"/>
    </xf>
    <xf numFmtId="183" fontId="14" fillId="3" borderId="112" xfId="4" applyNumberFormat="1" applyFont="1" applyFill="1" applyBorder="1" applyAlignment="1">
      <alignment horizontal="right" vertical="center" wrapText="1"/>
    </xf>
    <xf numFmtId="0" fontId="30" fillId="3" borderId="86" xfId="4" applyFont="1" applyFill="1" applyBorder="1" applyAlignment="1">
      <alignment horizontal="left" vertical="center" wrapText="1"/>
    </xf>
    <xf numFmtId="0" fontId="30" fillId="3" borderId="85" xfId="4" applyFont="1" applyFill="1" applyBorder="1" applyAlignment="1">
      <alignment horizontal="left" vertical="center" wrapText="1"/>
    </xf>
    <xf numFmtId="0" fontId="30" fillId="3" borderId="11" xfId="4" applyFont="1" applyFill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41" fontId="33" fillId="3" borderId="1" xfId="1" applyFont="1" applyFill="1" applyBorder="1" applyAlignment="1">
      <alignment horizontal="right" vertical="center"/>
    </xf>
    <xf numFmtId="41" fontId="19" fillId="2" borderId="1" xfId="5" applyFont="1" applyFill="1" applyBorder="1" applyAlignment="1">
      <alignment horizontal="center" vertical="top"/>
    </xf>
    <xf numFmtId="41" fontId="12" fillId="2" borderId="2" xfId="5" applyFont="1" applyFill="1" applyBorder="1" applyAlignment="1">
      <alignment horizontal="center" vertical="center"/>
    </xf>
    <xf numFmtId="41" fontId="7" fillId="0" borderId="17" xfId="5" applyFont="1" applyFill="1" applyBorder="1" applyAlignment="1">
      <alignment vertical="top"/>
    </xf>
    <xf numFmtId="0" fontId="31" fillId="3" borderId="113" xfId="4" applyFont="1" applyFill="1" applyBorder="1" applyAlignment="1">
      <alignment horizontal="left" vertical="center" wrapText="1"/>
    </xf>
    <xf numFmtId="183" fontId="21" fillId="3" borderId="114" xfId="4" applyNumberFormat="1" applyFont="1" applyFill="1" applyBorder="1" applyAlignment="1">
      <alignment horizontal="right" vertical="center" wrapText="1"/>
    </xf>
    <xf numFmtId="9" fontId="22" fillId="3" borderId="28" xfId="6" applyFont="1" applyFill="1" applyBorder="1" applyAlignment="1">
      <alignment horizontal="right" vertical="center" wrapText="1"/>
    </xf>
    <xf numFmtId="0" fontId="29" fillId="3" borderId="75" xfId="4" applyFont="1" applyFill="1" applyBorder="1" applyAlignment="1">
      <alignment vertical="center" wrapText="1"/>
    </xf>
    <xf numFmtId="183" fontId="19" fillId="2" borderId="38" xfId="5" applyNumberFormat="1" applyFont="1" applyFill="1" applyBorder="1">
      <alignment vertical="center"/>
    </xf>
    <xf numFmtId="183" fontId="19" fillId="2" borderId="3" xfId="5" applyNumberFormat="1" applyFont="1" applyFill="1" applyBorder="1">
      <alignment vertical="center"/>
    </xf>
    <xf numFmtId="183" fontId="19" fillId="2" borderId="116" xfId="5" applyNumberFormat="1" applyFont="1" applyFill="1" applyBorder="1">
      <alignment vertical="center"/>
    </xf>
    <xf numFmtId="183" fontId="19" fillId="2" borderId="115" xfId="5" applyNumberFormat="1" applyFont="1" applyFill="1" applyBorder="1">
      <alignment vertical="center"/>
    </xf>
    <xf numFmtId="9" fontId="19" fillId="3" borderId="74" xfId="6" applyFont="1" applyFill="1" applyBorder="1">
      <alignment vertical="center"/>
    </xf>
    <xf numFmtId="41" fontId="33" fillId="3" borderId="74" xfId="1" applyFont="1" applyFill="1" applyBorder="1">
      <alignment vertical="center"/>
    </xf>
    <xf numFmtId="183" fontId="19" fillId="2" borderId="117" xfId="5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2" borderId="21" xfId="4" applyFont="1" applyFill="1" applyBorder="1" applyAlignment="1">
      <alignment horizontal="center" vertical="center" wrapText="1"/>
    </xf>
    <xf numFmtId="0" fontId="19" fillId="2" borderId="48" xfId="4" applyFont="1" applyFill="1" applyBorder="1" applyAlignment="1">
      <alignment horizontal="center" vertical="center" wrapText="1"/>
    </xf>
    <xf numFmtId="41" fontId="15" fillId="2" borderId="38" xfId="5" applyFont="1" applyFill="1" applyBorder="1" applyAlignment="1">
      <alignment horizontal="center" vertical="center"/>
    </xf>
    <xf numFmtId="41" fontId="15" fillId="2" borderId="16" xfId="5" applyFont="1" applyFill="1" applyBorder="1" applyAlignment="1">
      <alignment horizontal="center" vertical="center"/>
    </xf>
    <xf numFmtId="41" fontId="15" fillId="2" borderId="3" xfId="5" applyFont="1" applyFill="1" applyBorder="1" applyAlignment="1">
      <alignment horizontal="center" vertical="center"/>
    </xf>
    <xf numFmtId="41" fontId="19" fillId="0" borderId="42" xfId="5" applyFont="1" applyBorder="1" applyAlignment="1">
      <alignment horizontal="center" vertical="top"/>
    </xf>
    <xf numFmtId="41" fontId="19" fillId="0" borderId="1" xfId="5" applyFont="1" applyBorder="1" applyAlignment="1">
      <alignment horizontal="center" vertical="top"/>
    </xf>
    <xf numFmtId="0" fontId="29" fillId="3" borderId="69" xfId="4" applyFont="1" applyFill="1" applyBorder="1" applyAlignment="1">
      <alignment horizontal="center" vertical="center" wrapText="1"/>
    </xf>
    <xf numFmtId="0" fontId="19" fillId="2" borderId="61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4" fillId="2" borderId="23" xfId="4" applyFont="1" applyFill="1" applyBorder="1" applyAlignment="1">
      <alignment horizontal="center" vertical="center"/>
    </xf>
    <xf numFmtId="0" fontId="24" fillId="2" borderId="18" xfId="4" applyFont="1" applyFill="1" applyBorder="1" applyAlignment="1">
      <alignment horizontal="center" vertical="center"/>
    </xf>
    <xf numFmtId="0" fontId="24" fillId="2" borderId="13" xfId="4" applyFont="1" applyFill="1" applyBorder="1" applyAlignment="1">
      <alignment horizontal="center" vertical="center"/>
    </xf>
    <xf numFmtId="0" fontId="24" fillId="2" borderId="61" xfId="4" applyFont="1" applyFill="1" applyBorder="1" applyAlignment="1">
      <alignment horizontal="center" vertical="center"/>
    </xf>
    <xf numFmtId="0" fontId="19" fillId="2" borderId="56" xfId="4" applyFont="1" applyFill="1" applyBorder="1" applyAlignment="1">
      <alignment horizontal="center" vertical="center"/>
    </xf>
    <xf numFmtId="0" fontId="19" fillId="2" borderId="51" xfId="4" applyFont="1" applyFill="1" applyBorder="1" applyAlignment="1">
      <alignment horizontal="center" vertical="center"/>
    </xf>
    <xf numFmtId="0" fontId="19" fillId="2" borderId="56" xfId="4" applyFont="1" applyFill="1" applyBorder="1" applyAlignment="1">
      <alignment horizontal="center" vertical="center" wrapText="1"/>
    </xf>
    <xf numFmtId="0" fontId="19" fillId="2" borderId="51" xfId="4" applyFont="1" applyFill="1" applyBorder="1" applyAlignment="1">
      <alignment horizontal="center" vertical="center" wrapText="1"/>
    </xf>
    <xf numFmtId="0" fontId="19" fillId="2" borderId="43" xfId="4" applyFont="1" applyFill="1" applyBorder="1" applyAlignment="1">
      <alignment horizontal="center" vertical="center"/>
    </xf>
    <xf numFmtId="0" fontId="19" fillId="2" borderId="52" xfId="4" applyFont="1" applyFill="1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19" fillId="0" borderId="9" xfId="4" applyFont="1" applyBorder="1" applyAlignment="1">
      <alignment horizontal="right" vertical="center"/>
    </xf>
    <xf numFmtId="0" fontId="29" fillId="3" borderId="1" xfId="4" applyFont="1" applyFill="1" applyBorder="1" applyAlignment="1">
      <alignment horizontal="center" vertical="center" wrapText="1"/>
    </xf>
    <xf numFmtId="0" fontId="29" fillId="3" borderId="70" xfId="4" applyFont="1" applyFill="1" applyBorder="1" applyAlignment="1">
      <alignment horizontal="center" vertical="center" wrapText="1"/>
    </xf>
    <xf numFmtId="41" fontId="0" fillId="0" borderId="46" xfId="5" applyFont="1" applyBorder="1" applyAlignment="1">
      <alignment horizontal="center" vertical="center"/>
    </xf>
    <xf numFmtId="41" fontId="0" fillId="0" borderId="53" xfId="5" applyFont="1" applyBorder="1" applyAlignment="1">
      <alignment horizontal="center" vertical="center"/>
    </xf>
    <xf numFmtId="41" fontId="0" fillId="0" borderId="64" xfId="5" applyFont="1" applyBorder="1" applyAlignment="1">
      <alignment horizontal="center" vertical="center"/>
    </xf>
    <xf numFmtId="41" fontId="0" fillId="0" borderId="12" xfId="5" applyFont="1" applyBorder="1" applyAlignment="1">
      <alignment horizontal="center" vertical="center"/>
    </xf>
    <xf numFmtId="41" fontId="0" fillId="0" borderId="0" xfId="5" applyFont="1" applyBorder="1" applyAlignment="1">
      <alignment horizontal="center" vertical="center"/>
    </xf>
    <xf numFmtId="41" fontId="0" fillId="0" borderId="25" xfId="5" applyFont="1" applyBorder="1" applyAlignment="1">
      <alignment horizontal="center" vertical="center"/>
    </xf>
    <xf numFmtId="41" fontId="0" fillId="0" borderId="37" xfId="5" applyFont="1" applyBorder="1" applyAlignment="1">
      <alignment horizontal="center" vertical="center"/>
    </xf>
    <xf numFmtId="41" fontId="0" fillId="0" borderId="9" xfId="5" applyFont="1" applyBorder="1" applyAlignment="1">
      <alignment horizontal="center" vertical="center"/>
    </xf>
    <xf numFmtId="41" fontId="0" fillId="0" borderId="40" xfId="5" applyFont="1" applyBorder="1" applyAlignment="1">
      <alignment horizontal="center" vertical="center"/>
    </xf>
    <xf numFmtId="41" fontId="19" fillId="0" borderId="39" xfId="5" applyFont="1" applyBorder="1" applyAlignment="1">
      <alignment horizontal="left" vertical="top"/>
    </xf>
    <xf numFmtId="41" fontId="19" fillId="0" borderId="12" xfId="5" applyFont="1" applyBorder="1" applyAlignment="1">
      <alignment horizontal="left" vertical="top"/>
    </xf>
    <xf numFmtId="41" fontId="19" fillId="0" borderId="38" xfId="5" applyFont="1" applyBorder="1" applyAlignment="1">
      <alignment horizontal="left" vertical="top"/>
    </xf>
    <xf numFmtId="41" fontId="19" fillId="0" borderId="37" xfId="5" applyFont="1" applyBorder="1" applyAlignment="1">
      <alignment horizontal="left" vertical="top"/>
    </xf>
    <xf numFmtId="0" fontId="29" fillId="3" borderId="71" xfId="4" applyFont="1" applyFill="1" applyBorder="1" applyAlignment="1">
      <alignment horizontal="center" vertical="center" wrapText="1"/>
    </xf>
    <xf numFmtId="0" fontId="29" fillId="3" borderId="63" xfId="4" applyFont="1" applyFill="1" applyBorder="1" applyAlignment="1">
      <alignment horizontal="center" vertical="center" wrapText="1"/>
    </xf>
    <xf numFmtId="0" fontId="29" fillId="3" borderId="68" xfId="4" applyFont="1" applyFill="1" applyBorder="1" applyAlignment="1">
      <alignment horizontal="center" vertical="center" wrapText="1"/>
    </xf>
    <xf numFmtId="0" fontId="1" fillId="0" borderId="37" xfId="4" applyFont="1" applyBorder="1" applyAlignment="1">
      <alignment horizontal="left" vertical="center"/>
    </xf>
    <xf numFmtId="0" fontId="6" fillId="0" borderId="9" xfId="4" applyBorder="1" applyAlignment="1">
      <alignment horizontal="left" vertical="center"/>
    </xf>
    <xf numFmtId="0" fontId="6" fillId="0" borderId="110" xfId="4" applyBorder="1" applyAlignment="1">
      <alignment horizontal="left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27" fillId="0" borderId="0" xfId="4" applyFont="1" applyAlignment="1">
      <alignment horizontal="left" vertical="center"/>
    </xf>
    <xf numFmtId="0" fontId="19" fillId="2" borderId="19" xfId="4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41" fontId="19" fillId="0" borderId="33" xfId="5" applyFont="1" applyBorder="1" applyAlignment="1">
      <alignment horizontal="center" vertical="top"/>
    </xf>
    <xf numFmtId="41" fontId="19" fillId="0" borderId="47" xfId="5" applyFont="1" applyBorder="1" applyAlignment="1">
      <alignment horizontal="center" vertical="top"/>
    </xf>
    <xf numFmtId="41" fontId="19" fillId="0" borderId="27" xfId="5" applyFont="1" applyBorder="1" applyAlignment="1">
      <alignment horizontal="center" vertical="top"/>
    </xf>
    <xf numFmtId="41" fontId="19" fillId="0" borderId="36" xfId="5" applyFont="1" applyBorder="1" applyAlignment="1">
      <alignment horizontal="center" vertical="top"/>
    </xf>
    <xf numFmtId="0" fontId="16" fillId="3" borderId="46" xfId="4" applyFont="1" applyFill="1" applyBorder="1" applyAlignment="1">
      <alignment horizontal="center" vertical="center"/>
    </xf>
    <xf numFmtId="0" fontId="16" fillId="3" borderId="53" xfId="4" applyFont="1" applyFill="1" applyBorder="1" applyAlignment="1">
      <alignment horizontal="center" vertical="center"/>
    </xf>
    <xf numFmtId="0" fontId="6" fillId="0" borderId="39" xfId="4" applyBorder="1" applyAlignment="1">
      <alignment horizontal="left" vertical="center"/>
    </xf>
    <xf numFmtId="0" fontId="6" fillId="0" borderId="31" xfId="4" applyBorder="1" applyAlignment="1">
      <alignment horizontal="left" vertical="center"/>
    </xf>
    <xf numFmtId="0" fontId="2" fillId="0" borderId="39" xfId="4" applyFont="1" applyBorder="1" applyAlignment="1">
      <alignment horizontal="left" vertical="center"/>
    </xf>
    <xf numFmtId="0" fontId="6" fillId="0" borderId="65" xfId="4" applyBorder="1" applyAlignment="1">
      <alignment horizontal="left" vertical="center"/>
    </xf>
    <xf numFmtId="0" fontId="4" fillId="0" borderId="39" xfId="4" applyFont="1" applyBorder="1" applyAlignment="1">
      <alignment horizontal="left" vertical="center"/>
    </xf>
    <xf numFmtId="0" fontId="1" fillId="0" borderId="104" xfId="4" applyFont="1" applyBorder="1" applyAlignment="1">
      <alignment horizontal="left" vertical="center"/>
    </xf>
    <xf numFmtId="0" fontId="6" fillId="0" borderId="29" xfId="4" applyBorder="1" applyAlignment="1">
      <alignment horizontal="left" vertical="center"/>
    </xf>
    <xf numFmtId="0" fontId="6" fillId="0" borderId="111" xfId="4" applyBorder="1" applyAlignment="1">
      <alignment horizontal="left" vertical="center"/>
    </xf>
    <xf numFmtId="176" fontId="28" fillId="0" borderId="0" xfId="0" applyNumberFormat="1" applyFont="1" applyFill="1" applyBorder="1" applyAlignment="1">
      <alignment horizontal="center"/>
    </xf>
    <xf numFmtId="0" fontId="19" fillId="2" borderId="45" xfId="4" applyFont="1" applyFill="1" applyBorder="1" applyAlignment="1">
      <alignment horizontal="center" vertical="center"/>
    </xf>
    <xf numFmtId="0" fontId="19" fillId="2" borderId="26" xfId="4" applyFont="1" applyFill="1" applyBorder="1" applyAlignment="1">
      <alignment horizontal="center" vertical="center"/>
    </xf>
    <xf numFmtId="0" fontId="19" fillId="2" borderId="44" xfId="4" applyFont="1" applyFill="1" applyBorder="1" applyAlignment="1">
      <alignment horizontal="center" vertical="center"/>
    </xf>
    <xf numFmtId="9" fontId="19" fillId="3" borderId="32" xfId="6" applyFont="1" applyFill="1" applyBorder="1" applyAlignment="1">
      <alignment horizontal="right" vertical="top"/>
    </xf>
    <xf numFmtId="9" fontId="19" fillId="3" borderId="24" xfId="6" applyFont="1" applyFill="1" applyBorder="1" applyAlignment="1">
      <alignment horizontal="right" vertical="top"/>
    </xf>
    <xf numFmtId="9" fontId="19" fillId="3" borderId="17" xfId="6" applyFont="1" applyFill="1" applyBorder="1" applyAlignment="1">
      <alignment horizontal="right" vertical="top"/>
    </xf>
    <xf numFmtId="9" fontId="19" fillId="3" borderId="10" xfId="6" applyFont="1" applyFill="1" applyBorder="1" applyAlignment="1">
      <alignment horizontal="right" vertical="top"/>
    </xf>
    <xf numFmtId="0" fontId="30" fillId="3" borderId="99" xfId="4" applyFont="1" applyFill="1" applyBorder="1" applyAlignment="1">
      <alignment horizontal="left" vertical="top" wrapText="1"/>
    </xf>
    <xf numFmtId="0" fontId="30" fillId="3" borderId="88" xfId="4" applyFont="1" applyFill="1" applyBorder="1" applyAlignment="1">
      <alignment horizontal="left" vertical="top" wrapText="1"/>
    </xf>
    <xf numFmtId="0" fontId="30" fillId="3" borderId="100" xfId="4" applyFont="1" applyFill="1" applyBorder="1" applyAlignment="1">
      <alignment horizontal="left" vertical="top" wrapText="1"/>
    </xf>
    <xf numFmtId="183" fontId="16" fillId="3" borderId="33" xfId="5" applyNumberFormat="1" applyFont="1" applyFill="1" applyBorder="1" applyAlignment="1">
      <alignment horizontal="right" vertical="top"/>
    </xf>
    <xf numFmtId="183" fontId="16" fillId="3" borderId="5" xfId="5" applyNumberFormat="1" applyFont="1" applyFill="1" applyBorder="1" applyAlignment="1">
      <alignment horizontal="right" vertical="top"/>
    </xf>
    <xf numFmtId="183" fontId="16" fillId="3" borderId="30" xfId="5" applyNumberFormat="1" applyFont="1" applyFill="1" applyBorder="1" applyAlignment="1">
      <alignment horizontal="right" vertical="top"/>
    </xf>
    <xf numFmtId="183" fontId="16" fillId="3" borderId="27" xfId="5" applyNumberFormat="1" applyFont="1" applyFill="1" applyBorder="1" applyAlignment="1">
      <alignment horizontal="right" vertical="top"/>
    </xf>
    <xf numFmtId="183" fontId="16" fillId="3" borderId="6" xfId="5" applyNumberFormat="1" applyFont="1" applyFill="1" applyBorder="1" applyAlignment="1">
      <alignment horizontal="right" vertical="top"/>
    </xf>
    <xf numFmtId="183" fontId="16" fillId="3" borderId="2" xfId="5" applyNumberFormat="1" applyFont="1" applyFill="1" applyBorder="1" applyAlignment="1">
      <alignment horizontal="right" vertical="top"/>
    </xf>
    <xf numFmtId="0" fontId="30" fillId="3" borderId="89" xfId="4" applyFont="1" applyFill="1" applyBorder="1" applyAlignment="1">
      <alignment horizontal="left" vertical="top" wrapText="1"/>
    </xf>
    <xf numFmtId="183" fontId="16" fillId="3" borderId="8" xfId="5" applyNumberFormat="1" applyFont="1" applyFill="1" applyBorder="1" applyAlignment="1">
      <alignment horizontal="right" vertical="top"/>
    </xf>
    <xf numFmtId="0" fontId="30" fillId="3" borderId="102" xfId="4" applyFont="1" applyFill="1" applyBorder="1" applyAlignment="1">
      <alignment horizontal="left" vertical="top" wrapText="1"/>
    </xf>
    <xf numFmtId="0" fontId="30" fillId="3" borderId="58" xfId="4" applyFont="1" applyFill="1" applyBorder="1" applyAlignment="1">
      <alignment horizontal="left" vertical="top" wrapText="1"/>
    </xf>
    <xf numFmtId="0" fontId="30" fillId="3" borderId="103" xfId="4" applyFont="1" applyFill="1" applyBorder="1" applyAlignment="1">
      <alignment horizontal="left" vertical="top" wrapText="1"/>
    </xf>
    <xf numFmtId="183" fontId="21" fillId="3" borderId="96" xfId="4" applyNumberFormat="1" applyFont="1" applyFill="1" applyBorder="1" applyAlignment="1">
      <alignment horizontal="right" vertical="top" wrapText="1"/>
    </xf>
    <xf numFmtId="183" fontId="21" fillId="3" borderId="85" xfId="4" applyNumberFormat="1" applyFont="1" applyFill="1" applyBorder="1" applyAlignment="1">
      <alignment horizontal="right" vertical="top" wrapText="1"/>
    </xf>
    <xf numFmtId="183" fontId="21" fillId="3" borderId="86" xfId="4" applyNumberFormat="1" applyFont="1" applyFill="1" applyBorder="1" applyAlignment="1">
      <alignment horizontal="right" vertical="top" wrapText="1"/>
    </xf>
    <xf numFmtId="183" fontId="21" fillId="3" borderId="79" xfId="4" applyNumberFormat="1" applyFont="1" applyFill="1" applyBorder="1" applyAlignment="1">
      <alignment horizontal="right" vertical="top" wrapText="1"/>
    </xf>
    <xf numFmtId="183" fontId="21" fillId="3" borderId="77" xfId="4" applyNumberFormat="1" applyFont="1" applyFill="1" applyBorder="1" applyAlignment="1">
      <alignment horizontal="right" vertical="top" wrapText="1"/>
    </xf>
    <xf numFmtId="183" fontId="21" fillId="3" borderId="78" xfId="4" applyNumberFormat="1" applyFont="1" applyFill="1" applyBorder="1" applyAlignment="1">
      <alignment horizontal="right" vertical="top" wrapText="1"/>
    </xf>
    <xf numFmtId="41" fontId="7" fillId="3" borderId="70" xfId="5" applyFont="1" applyFill="1" applyBorder="1" applyAlignment="1">
      <alignment vertical="top"/>
    </xf>
    <xf numFmtId="41" fontId="7" fillId="3" borderId="69" xfId="5" applyFont="1" applyFill="1" applyBorder="1" applyAlignment="1">
      <alignment vertical="top"/>
    </xf>
    <xf numFmtId="41" fontId="7" fillId="3" borderId="75" xfId="5" applyFont="1" applyFill="1" applyBorder="1" applyAlignment="1">
      <alignment vertical="top"/>
    </xf>
    <xf numFmtId="0" fontId="30" fillId="3" borderId="87" xfId="4" applyFont="1" applyFill="1" applyBorder="1" applyAlignment="1">
      <alignment horizontal="left" vertical="top" wrapText="1"/>
    </xf>
    <xf numFmtId="0" fontId="30" fillId="3" borderId="90" xfId="4" applyFont="1" applyFill="1" applyBorder="1" applyAlignment="1">
      <alignment horizontal="left" vertical="top" wrapText="1"/>
    </xf>
    <xf numFmtId="0" fontId="30" fillId="3" borderId="91" xfId="4" applyFont="1" applyFill="1" applyBorder="1" applyAlignment="1">
      <alignment horizontal="left" vertical="top" wrapText="1"/>
    </xf>
    <xf numFmtId="0" fontId="30" fillId="3" borderId="92" xfId="4" applyFont="1" applyFill="1" applyBorder="1" applyAlignment="1">
      <alignment horizontal="left" vertical="top" wrapText="1"/>
    </xf>
    <xf numFmtId="183" fontId="21" fillId="3" borderId="84" xfId="4" applyNumberFormat="1" applyFont="1" applyFill="1" applyBorder="1" applyAlignment="1">
      <alignment horizontal="right" vertical="top" wrapText="1"/>
    </xf>
    <xf numFmtId="183" fontId="21" fillId="3" borderId="76" xfId="4" applyNumberFormat="1" applyFont="1" applyFill="1" applyBorder="1" applyAlignment="1">
      <alignment horizontal="right" vertical="top" wrapText="1"/>
    </xf>
    <xf numFmtId="41" fontId="19" fillId="0" borderId="46" xfId="5" applyFont="1" applyBorder="1" applyAlignment="1">
      <alignment horizontal="center" vertical="top"/>
    </xf>
    <xf numFmtId="41" fontId="19" fillId="0" borderId="12" xfId="5" applyFont="1" applyBorder="1" applyAlignment="1">
      <alignment horizontal="center" vertical="top"/>
    </xf>
    <xf numFmtId="41" fontId="19" fillId="0" borderId="37" xfId="5" applyFont="1" applyBorder="1" applyAlignment="1">
      <alignment horizontal="center" vertical="top"/>
    </xf>
    <xf numFmtId="0" fontId="29" fillId="3" borderId="80" xfId="4" applyFont="1" applyFill="1" applyBorder="1" applyAlignment="1">
      <alignment horizontal="left" vertical="top" wrapText="1"/>
    </xf>
    <xf numFmtId="0" fontId="29" fillId="3" borderId="24" xfId="4" applyFont="1" applyFill="1" applyBorder="1" applyAlignment="1">
      <alignment horizontal="left" vertical="top" wrapText="1"/>
    </xf>
    <xf numFmtId="0" fontId="29" fillId="3" borderId="17" xfId="4" applyFont="1" applyFill="1" applyBorder="1" applyAlignment="1">
      <alignment horizontal="left" vertical="top" wrapText="1"/>
    </xf>
    <xf numFmtId="183" fontId="21" fillId="3" borderId="93" xfId="4" applyNumberFormat="1" applyFont="1" applyFill="1" applyBorder="1" applyAlignment="1">
      <alignment horizontal="right" vertical="top" wrapText="1"/>
    </xf>
    <xf numFmtId="183" fontId="21" fillId="3" borderId="94" xfId="4" applyNumberFormat="1" applyFont="1" applyFill="1" applyBorder="1" applyAlignment="1">
      <alignment horizontal="right" vertical="top" wrapText="1"/>
    </xf>
    <xf numFmtId="183" fontId="21" fillId="3" borderId="107" xfId="4" applyNumberFormat="1" applyFont="1" applyFill="1" applyBorder="1" applyAlignment="1">
      <alignment horizontal="right" vertical="top" wrapText="1"/>
    </xf>
    <xf numFmtId="183" fontId="21" fillId="3" borderId="81" xfId="4" applyNumberFormat="1" applyFont="1" applyFill="1" applyBorder="1" applyAlignment="1">
      <alignment horizontal="right" vertical="top" wrapText="1"/>
    </xf>
    <xf numFmtId="183" fontId="16" fillId="3" borderId="41" xfId="5" applyNumberFormat="1" applyFont="1" applyFill="1" applyBorder="1" applyAlignment="1">
      <alignment horizontal="right" vertical="top"/>
    </xf>
    <xf numFmtId="183" fontId="16" fillId="3" borderId="57" xfId="5" applyNumberFormat="1" applyFont="1" applyFill="1" applyBorder="1" applyAlignment="1">
      <alignment horizontal="right" vertical="top"/>
    </xf>
    <xf numFmtId="183" fontId="16" fillId="3" borderId="60" xfId="5" applyNumberFormat="1" applyFont="1" applyFill="1" applyBorder="1" applyAlignment="1">
      <alignment horizontal="right" vertical="top"/>
    </xf>
    <xf numFmtId="0" fontId="30" fillId="3" borderId="15" xfId="4" applyFont="1" applyFill="1" applyBorder="1" applyAlignment="1">
      <alignment horizontal="left" vertical="top" wrapText="1"/>
    </xf>
    <xf numFmtId="0" fontId="30" fillId="3" borderId="14" xfId="4" applyFont="1" applyFill="1" applyBorder="1" applyAlignment="1">
      <alignment horizontal="left" vertical="top" wrapText="1"/>
    </xf>
    <xf numFmtId="183" fontId="16" fillId="3" borderId="7" xfId="5" applyNumberFormat="1" applyFont="1" applyFill="1" applyBorder="1" applyAlignment="1">
      <alignment horizontal="right" vertical="top"/>
    </xf>
    <xf numFmtId="183" fontId="21" fillId="3" borderId="95" xfId="4" applyNumberFormat="1" applyFont="1" applyFill="1" applyBorder="1" applyAlignment="1">
      <alignment horizontal="right" vertical="top" wrapText="1"/>
    </xf>
    <xf numFmtId="176" fontId="28" fillId="0" borderId="0" xfId="0" applyNumberFormat="1" applyFont="1" applyFill="1" applyBorder="1" applyAlignment="1">
      <alignment horizontal="left"/>
    </xf>
    <xf numFmtId="0" fontId="19" fillId="2" borderId="20" xfId="4" applyFont="1" applyFill="1" applyBorder="1" applyAlignment="1">
      <alignment horizontal="center" vertical="center"/>
    </xf>
    <xf numFmtId="0" fontId="19" fillId="2" borderId="83" xfId="4" applyFont="1" applyFill="1" applyBorder="1" applyAlignment="1">
      <alignment horizontal="center" vertical="center"/>
    </xf>
    <xf numFmtId="0" fontId="19" fillId="3" borderId="45" xfId="4" applyFont="1" applyFill="1" applyBorder="1" applyAlignment="1">
      <alignment horizontal="center" vertical="center"/>
    </xf>
    <xf numFmtId="0" fontId="19" fillId="3" borderId="44" xfId="4" applyFont="1" applyFill="1" applyBorder="1" applyAlignment="1">
      <alignment horizontal="center" vertical="center"/>
    </xf>
    <xf numFmtId="0" fontId="19" fillId="3" borderId="46" xfId="4" applyFont="1" applyFill="1" applyBorder="1" applyAlignment="1">
      <alignment horizontal="center" vertical="center"/>
    </xf>
    <xf numFmtId="0" fontId="19" fillId="3" borderId="64" xfId="4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left" vertical="center" wrapText="1"/>
    </xf>
    <xf numFmtId="41" fontId="7" fillId="3" borderId="32" xfId="5" applyFont="1" applyFill="1" applyBorder="1" applyAlignment="1">
      <alignment vertical="top"/>
    </xf>
    <xf numFmtId="41" fontId="7" fillId="3" borderId="24" xfId="5" applyFont="1" applyFill="1" applyBorder="1" applyAlignment="1">
      <alignment vertical="top"/>
    </xf>
    <xf numFmtId="41" fontId="19" fillId="0" borderId="5" xfId="5" applyFont="1" applyBorder="1" applyAlignment="1">
      <alignment horizontal="center" vertical="top"/>
    </xf>
    <xf numFmtId="41" fontId="15" fillId="2" borderId="37" xfId="5" applyFont="1" applyFill="1" applyBorder="1" applyAlignment="1">
      <alignment horizontal="center" vertical="center"/>
    </xf>
    <xf numFmtId="41" fontId="15" fillId="2" borderId="9" xfId="5" applyFont="1" applyFill="1" applyBorder="1" applyAlignment="1">
      <alignment horizontal="center" vertical="center"/>
    </xf>
    <xf numFmtId="0" fontId="32" fillId="0" borderId="105" xfId="0" applyFont="1" applyBorder="1" applyAlignment="1">
      <alignment horizontal="left" vertical="center" wrapText="1"/>
    </xf>
  </cellXfs>
  <cellStyles count="10">
    <cellStyle name="백분율" xfId="6" builtinId="5"/>
    <cellStyle name="쉼표 [0]" xfId="1" builtinId="6"/>
    <cellStyle name="쉼표 [0] 2" xfId="2" xr:uid="{00000000-0005-0000-0000-000002000000}"/>
    <cellStyle name="쉼표 [0] 3" xfId="5" xr:uid="{00000000-0005-0000-0000-000003000000}"/>
    <cellStyle name="표준" xfId="0" builtinId="0"/>
    <cellStyle name="표준 2" xfId="3" xr:uid="{00000000-0005-0000-0000-000005000000}"/>
    <cellStyle name="표준 2 2" xfId="8" xr:uid="{5AE383AE-785D-4E50-95FA-5913F3658B45}"/>
    <cellStyle name="표준 2 6" xfId="7" xr:uid="{00000000-0005-0000-0000-000006000000}"/>
    <cellStyle name="표준 3" xfId="4" xr:uid="{00000000-0005-0000-0000-000007000000}"/>
    <cellStyle name="표준 3 2" xfId="9" xr:uid="{367FCDC3-8F3D-4198-B3FD-6BD944B4B7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R13"/>
  <sheetViews>
    <sheetView tabSelected="1" zoomScaleNormal="100" workbookViewId="0">
      <selection activeCell="A5" sqref="A5:L5"/>
    </sheetView>
  </sheetViews>
  <sheetFormatPr defaultRowHeight="13.5"/>
  <cols>
    <col min="4" max="4" width="5" customWidth="1"/>
    <col min="12" max="12" width="11.21875" customWidth="1"/>
  </cols>
  <sheetData>
    <row r="3" spans="1:18" ht="24.75" customHeight="1"/>
    <row r="4" spans="1:18" ht="35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8" ht="38.25">
      <c r="A5" s="145" t="s">
        <v>140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87"/>
      <c r="N5" s="87"/>
      <c r="O5" s="87"/>
      <c r="P5" s="87"/>
      <c r="Q5" s="87"/>
      <c r="R5" s="87"/>
    </row>
    <row r="6" spans="1:18" ht="27" customHeight="1">
      <c r="A6" s="146" t="s">
        <v>66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8" ht="35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8" ht="264.7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8" ht="62.2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8" ht="278.2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8" ht="31.5">
      <c r="A13" s="146" t="s">
        <v>65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88"/>
      <c r="N13" s="88"/>
      <c r="O13" s="88"/>
      <c r="P13" s="88"/>
      <c r="Q13" s="88"/>
      <c r="R13" s="88"/>
    </row>
  </sheetData>
  <mergeCells count="4">
    <mergeCell ref="A4:L4"/>
    <mergeCell ref="A5:L5"/>
    <mergeCell ref="A13:L13"/>
    <mergeCell ref="A6:L6"/>
  </mergeCells>
  <phoneticPr fontId="8" type="noConversion"/>
  <printOptions horizontalCentered="1"/>
  <pageMargins left="0.59055118110236227" right="0.59055118110236227" top="1.19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34998626667073579"/>
    <pageSetUpPr fitToPage="1"/>
  </sheetPr>
  <dimension ref="A1:N66"/>
  <sheetViews>
    <sheetView showGridLines="0" view="pageBreakPreview" zoomScaleNormal="85" zoomScaleSheetLayoutView="100" workbookViewId="0">
      <selection activeCell="L13" sqref="L13"/>
    </sheetView>
  </sheetViews>
  <sheetFormatPr defaultRowHeight="16.5"/>
  <cols>
    <col min="1" max="1" width="9.77734375" style="5" customWidth="1"/>
    <col min="2" max="2" width="10" style="5" bestFit="1" customWidth="1"/>
    <col min="3" max="3" width="21.33203125" style="5" customWidth="1"/>
    <col min="4" max="5" width="10.88671875" style="5" bestFit="1" customWidth="1"/>
    <col min="6" max="6" width="8.33203125" style="5" bestFit="1" customWidth="1"/>
    <col min="7" max="7" width="8.109375" style="5" customWidth="1"/>
    <col min="8" max="8" width="7.88671875" style="5" customWidth="1"/>
    <col min="9" max="9" width="16.109375" style="5" bestFit="1" customWidth="1"/>
    <col min="10" max="10" width="25.88671875" style="5" customWidth="1"/>
    <col min="11" max="12" width="13.77734375" style="5" bestFit="1" customWidth="1"/>
    <col min="13" max="13" width="11.109375" style="5" bestFit="1" customWidth="1"/>
    <col min="14" max="14" width="7.6640625" style="5" customWidth="1"/>
    <col min="15" max="16384" width="8.88671875" style="5"/>
  </cols>
  <sheetData>
    <row r="1" spans="1:14" s="15" customFormat="1" ht="45" customHeight="1">
      <c r="A1" s="157" t="s">
        <v>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6" customFormat="1" ht="25.5" customHeight="1">
      <c r="A2" s="168" t="s">
        <v>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7.25" thickBot="1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7" customHeight="1" thickBot="1">
      <c r="A4" s="158" t="s">
        <v>6</v>
      </c>
      <c r="B4" s="159"/>
      <c r="C4" s="159"/>
      <c r="D4" s="159"/>
      <c r="E4" s="159"/>
      <c r="F4" s="159"/>
      <c r="G4" s="160"/>
      <c r="H4" s="161" t="s">
        <v>7</v>
      </c>
      <c r="I4" s="159"/>
      <c r="J4" s="159"/>
      <c r="K4" s="159"/>
      <c r="L4" s="159"/>
      <c r="M4" s="159"/>
      <c r="N4" s="160"/>
    </row>
    <row r="5" spans="1:14" ht="27" customHeight="1" thickBot="1">
      <c r="A5" s="162" t="s">
        <v>8</v>
      </c>
      <c r="B5" s="162" t="s">
        <v>9</v>
      </c>
      <c r="C5" s="162" t="s">
        <v>10</v>
      </c>
      <c r="D5" s="164" t="s">
        <v>78</v>
      </c>
      <c r="E5" s="164" t="s">
        <v>79</v>
      </c>
      <c r="F5" s="166" t="s">
        <v>11</v>
      </c>
      <c r="G5" s="167"/>
      <c r="H5" s="162" t="s">
        <v>8</v>
      </c>
      <c r="I5" s="162" t="s">
        <v>9</v>
      </c>
      <c r="J5" s="162" t="s">
        <v>10</v>
      </c>
      <c r="K5" s="147" t="s">
        <v>80</v>
      </c>
      <c r="L5" s="147" t="s">
        <v>81</v>
      </c>
      <c r="M5" s="155" t="s">
        <v>12</v>
      </c>
      <c r="N5" s="156"/>
    </row>
    <row r="6" spans="1:14" ht="27" customHeight="1" thickBot="1">
      <c r="A6" s="163"/>
      <c r="B6" s="163"/>
      <c r="C6" s="163"/>
      <c r="D6" s="165"/>
      <c r="E6" s="165"/>
      <c r="F6" s="84" t="s">
        <v>13</v>
      </c>
      <c r="G6" s="7" t="s">
        <v>14</v>
      </c>
      <c r="H6" s="163"/>
      <c r="I6" s="163"/>
      <c r="J6" s="163"/>
      <c r="K6" s="148"/>
      <c r="L6" s="148"/>
      <c r="M6" s="83" t="s">
        <v>13</v>
      </c>
      <c r="N6" s="84" t="s">
        <v>15</v>
      </c>
    </row>
    <row r="7" spans="1:14" ht="27" customHeight="1">
      <c r="A7" s="149" t="s">
        <v>16</v>
      </c>
      <c r="B7" s="150"/>
      <c r="C7" s="151"/>
      <c r="D7" s="48">
        <f>SUM(D8)</f>
        <v>1175902000</v>
      </c>
      <c r="E7" s="48">
        <f>SUM(E8)</f>
        <v>1208262000</v>
      </c>
      <c r="F7" s="40">
        <f t="shared" ref="F7" si="0">SUM(F8)</f>
        <v>32360000</v>
      </c>
      <c r="G7" s="11">
        <f t="shared" ref="G7:G12" si="1">(E7-D7)/D7</f>
        <v>2.7519300077727567E-2</v>
      </c>
      <c r="H7" s="149" t="s">
        <v>16</v>
      </c>
      <c r="I7" s="150"/>
      <c r="J7" s="151"/>
      <c r="K7" s="40">
        <f>K8+K16+K30+K37</f>
        <v>1175902000</v>
      </c>
      <c r="L7" s="40">
        <f t="shared" ref="L7:M7" si="2">L8+L16+L30+L37</f>
        <v>1208261999.5999999</v>
      </c>
      <c r="M7" s="40">
        <f t="shared" si="2"/>
        <v>32359999.600000024</v>
      </c>
      <c r="N7" s="10">
        <f>(L7-K7)/K7</f>
        <v>2.7519299737563084E-2</v>
      </c>
    </row>
    <row r="8" spans="1:14" ht="27" customHeight="1">
      <c r="A8" s="152" t="s">
        <v>23</v>
      </c>
      <c r="B8" s="8" t="s">
        <v>24</v>
      </c>
      <c r="C8" s="9" t="s">
        <v>22</v>
      </c>
      <c r="D8" s="43">
        <f>SUM(D9:D13)</f>
        <v>1175902000</v>
      </c>
      <c r="E8" s="43">
        <f>SUM(E9:E13)</f>
        <v>1208262000</v>
      </c>
      <c r="F8" s="59">
        <f>E8-D8</f>
        <v>32360000</v>
      </c>
      <c r="G8" s="11">
        <f t="shared" si="1"/>
        <v>2.7519300077727567E-2</v>
      </c>
      <c r="H8" s="181" t="s">
        <v>0</v>
      </c>
      <c r="I8" s="13" t="s">
        <v>64</v>
      </c>
      <c r="J8" s="13" t="s">
        <v>28</v>
      </c>
      <c r="K8" s="52">
        <f>SUM(K9:K15)</f>
        <v>833632030</v>
      </c>
      <c r="L8" s="52">
        <f t="shared" ref="L8:M8" si="3">SUM(L9:L15)</f>
        <v>846881089.60000002</v>
      </c>
      <c r="M8" s="52">
        <f t="shared" si="3"/>
        <v>13249059.600000024</v>
      </c>
      <c r="N8" s="11">
        <f>(L8-K8)/K8</f>
        <v>1.5893174833985235E-2</v>
      </c>
    </row>
    <row r="9" spans="1:14" ht="27" customHeight="1">
      <c r="A9" s="152"/>
      <c r="B9" s="153"/>
      <c r="C9" s="12" t="s">
        <v>25</v>
      </c>
      <c r="D9" s="50">
        <f>세입명세서!D8</f>
        <v>822292000</v>
      </c>
      <c r="E9" s="50">
        <f>세입명세서!E8</f>
        <v>836999800</v>
      </c>
      <c r="F9" s="51">
        <f>E9-D9</f>
        <v>14707800</v>
      </c>
      <c r="G9" s="6">
        <f t="shared" si="1"/>
        <v>1.7886346942448669E-2</v>
      </c>
      <c r="H9" s="182"/>
      <c r="I9" s="154"/>
      <c r="J9" s="32" t="s">
        <v>52</v>
      </c>
      <c r="K9" s="41">
        <f>세출명세서!D8</f>
        <v>635366200</v>
      </c>
      <c r="L9" s="41">
        <f>세출명세서!E8</f>
        <v>606343489.60000002</v>
      </c>
      <c r="M9" s="42">
        <f t="shared" ref="M9:M41" si="4">L9-K9</f>
        <v>-29022710.399999976</v>
      </c>
      <c r="N9" s="65">
        <f>(L9-K9)/K9</f>
        <v>-4.5678713157860734E-2</v>
      </c>
    </row>
    <row r="10" spans="1:14" ht="27" customHeight="1">
      <c r="A10" s="152"/>
      <c r="B10" s="153"/>
      <c r="C10" s="12" t="s">
        <v>26</v>
      </c>
      <c r="D10" s="50">
        <f>세입명세서!D9</f>
        <v>140520000</v>
      </c>
      <c r="E10" s="50">
        <f>세입명세서!E9</f>
        <v>143485680</v>
      </c>
      <c r="F10" s="51">
        <f t="shared" ref="F10:F13" si="5">E10-D10</f>
        <v>2965680</v>
      </c>
      <c r="G10" s="6">
        <f t="shared" si="1"/>
        <v>2.1105038428693424E-2</v>
      </c>
      <c r="H10" s="182"/>
      <c r="I10" s="154"/>
      <c r="J10" s="32" t="s">
        <v>53</v>
      </c>
      <c r="K10" s="41">
        <f>세출명세서!D13</f>
        <v>59035200</v>
      </c>
      <c r="L10" s="41">
        <f>세출명세서!E13</f>
        <v>62037600</v>
      </c>
      <c r="M10" s="42">
        <f t="shared" si="4"/>
        <v>3002400</v>
      </c>
      <c r="N10" s="65">
        <f t="shared" ref="N10:N41" si="6">(L10-K10)/K10</f>
        <v>5.0857793316529801E-2</v>
      </c>
    </row>
    <row r="11" spans="1:14" ht="27" customHeight="1">
      <c r="A11" s="152"/>
      <c r="B11" s="153"/>
      <c r="C11" s="12" t="s">
        <v>27</v>
      </c>
      <c r="D11" s="50">
        <f>세입명세서!D10</f>
        <v>210780000</v>
      </c>
      <c r="E11" s="50">
        <f>세입명세서!E10</f>
        <v>215228520</v>
      </c>
      <c r="F11" s="51">
        <f t="shared" si="5"/>
        <v>4448520</v>
      </c>
      <c r="G11" s="6">
        <f t="shared" si="1"/>
        <v>2.1105038428693424E-2</v>
      </c>
      <c r="H11" s="182"/>
      <c r="I11" s="154"/>
      <c r="J11" s="32" t="s">
        <v>54</v>
      </c>
      <c r="K11" s="41">
        <f>세출명세서!D16</f>
        <v>66311000</v>
      </c>
      <c r="L11" s="41">
        <f>세출명세서!E16</f>
        <v>72000000</v>
      </c>
      <c r="M11" s="42">
        <f t="shared" si="4"/>
        <v>5689000</v>
      </c>
      <c r="N11" s="65">
        <f>(L11-K11)/K11</f>
        <v>8.579270407624677E-2</v>
      </c>
    </row>
    <row r="12" spans="1:14" ht="27" customHeight="1">
      <c r="A12" s="152"/>
      <c r="B12" s="153"/>
      <c r="C12" s="120" t="s">
        <v>138</v>
      </c>
      <c r="D12" s="50">
        <f>세입명세서!D11</f>
        <v>2310000</v>
      </c>
      <c r="E12" s="50">
        <f>세입명세서!E11</f>
        <v>2130000</v>
      </c>
      <c r="F12" s="51">
        <f t="shared" si="5"/>
        <v>-180000</v>
      </c>
      <c r="G12" s="6">
        <f t="shared" si="1"/>
        <v>-7.792207792207792E-2</v>
      </c>
      <c r="H12" s="182"/>
      <c r="I12" s="154"/>
      <c r="J12" s="32" t="s">
        <v>55</v>
      </c>
      <c r="K12" s="41">
        <f>세출명세서!D17</f>
        <v>31200000</v>
      </c>
      <c r="L12" s="41">
        <f>세출명세서!E17</f>
        <v>36500000</v>
      </c>
      <c r="M12" s="42">
        <f t="shared" ref="M12" si="7">L12-K12</f>
        <v>5300000</v>
      </c>
      <c r="N12" s="65">
        <f t="shared" ref="N12" si="8">(L12-K12)/K12</f>
        <v>0.16987179487179488</v>
      </c>
    </row>
    <row r="13" spans="1:14" ht="27" customHeight="1" thickBot="1">
      <c r="A13" s="152"/>
      <c r="B13" s="153"/>
      <c r="C13" s="30" t="s">
        <v>139</v>
      </c>
      <c r="D13" s="49">
        <f>세입명세서!D12</f>
        <v>0</v>
      </c>
      <c r="E13" s="50">
        <f>세입명세서!E12</f>
        <v>10418000</v>
      </c>
      <c r="F13" s="51">
        <f t="shared" si="5"/>
        <v>10418000</v>
      </c>
      <c r="G13" s="6">
        <v>1</v>
      </c>
      <c r="H13" s="182"/>
      <c r="I13" s="154"/>
      <c r="J13" s="32" t="s">
        <v>83</v>
      </c>
      <c r="K13" s="41">
        <f>세출명세서!D21</f>
        <v>10600000</v>
      </c>
      <c r="L13" s="41">
        <f>세출명세서!E21</f>
        <v>30000000</v>
      </c>
      <c r="M13" s="42">
        <f t="shared" si="4"/>
        <v>19400000</v>
      </c>
      <c r="N13" s="65">
        <f t="shared" si="6"/>
        <v>1.8301886792452831</v>
      </c>
    </row>
    <row r="14" spans="1:14" ht="27" customHeight="1">
      <c r="A14" s="172"/>
      <c r="B14" s="173"/>
      <c r="C14" s="173"/>
      <c r="D14" s="173"/>
      <c r="E14" s="173"/>
      <c r="F14" s="173"/>
      <c r="G14" s="174"/>
      <c r="H14" s="182"/>
      <c r="I14" s="154"/>
      <c r="J14" s="32" t="s">
        <v>56</v>
      </c>
      <c r="K14" s="41">
        <f>세출명세서!D22</f>
        <v>20119630</v>
      </c>
      <c r="L14" s="41">
        <f>세출명세서!E22</f>
        <v>40000000</v>
      </c>
      <c r="M14" s="42">
        <f t="shared" si="4"/>
        <v>19880370</v>
      </c>
      <c r="N14" s="65">
        <f t="shared" si="6"/>
        <v>0.98810813121314856</v>
      </c>
    </row>
    <row r="15" spans="1:14" ht="27" customHeight="1">
      <c r="A15" s="175"/>
      <c r="B15" s="176"/>
      <c r="C15" s="176"/>
      <c r="D15" s="176"/>
      <c r="E15" s="176"/>
      <c r="F15" s="176"/>
      <c r="G15" s="177"/>
      <c r="H15" s="182"/>
      <c r="I15" s="154"/>
      <c r="J15" s="32" t="s">
        <v>57</v>
      </c>
      <c r="K15" s="41">
        <f>세출명세서!D23</f>
        <v>11000000</v>
      </c>
      <c r="L15" s="41">
        <f>세출명세서!E23</f>
        <v>0</v>
      </c>
      <c r="M15" s="42">
        <f t="shared" si="4"/>
        <v>-11000000</v>
      </c>
      <c r="N15" s="65">
        <f t="shared" si="6"/>
        <v>-1</v>
      </c>
    </row>
    <row r="16" spans="1:14" ht="27" customHeight="1">
      <c r="A16" s="175"/>
      <c r="B16" s="176"/>
      <c r="C16" s="176"/>
      <c r="D16" s="176"/>
      <c r="E16" s="176"/>
      <c r="F16" s="176"/>
      <c r="G16" s="177"/>
      <c r="H16" s="182"/>
      <c r="I16" s="13" t="s">
        <v>34</v>
      </c>
      <c r="J16" s="13" t="s">
        <v>22</v>
      </c>
      <c r="K16" s="52">
        <f>SUM(K17:K29)</f>
        <v>210139300</v>
      </c>
      <c r="L16" s="52">
        <f t="shared" ref="L16:M16" si="9">SUM(L17:L29)</f>
        <v>234972700</v>
      </c>
      <c r="M16" s="52">
        <f t="shared" si="9"/>
        <v>24833400</v>
      </c>
      <c r="N16" s="11">
        <f>(L16-K16)/K16</f>
        <v>0.11817589570346908</v>
      </c>
    </row>
    <row r="17" spans="1:14" ht="27" customHeight="1">
      <c r="A17" s="175"/>
      <c r="B17" s="176"/>
      <c r="C17" s="176"/>
      <c r="D17" s="176"/>
      <c r="E17" s="176"/>
      <c r="F17" s="176"/>
      <c r="G17" s="177"/>
      <c r="H17" s="182"/>
      <c r="I17" s="170"/>
      <c r="J17" s="124" t="s">
        <v>35</v>
      </c>
      <c r="K17" s="41">
        <f>세출명세서!D25</f>
        <v>720000</v>
      </c>
      <c r="L17" s="41">
        <f>세출명세서!E25</f>
        <v>720000</v>
      </c>
      <c r="M17" s="42">
        <f t="shared" si="4"/>
        <v>0</v>
      </c>
      <c r="N17" s="65">
        <f t="shared" si="6"/>
        <v>0</v>
      </c>
    </row>
    <row r="18" spans="1:14" ht="27" customHeight="1">
      <c r="A18" s="175"/>
      <c r="B18" s="176"/>
      <c r="C18" s="176"/>
      <c r="D18" s="176"/>
      <c r="E18" s="176"/>
      <c r="F18" s="176"/>
      <c r="G18" s="177"/>
      <c r="H18" s="182"/>
      <c r="I18" s="170"/>
      <c r="J18" s="124" t="s">
        <v>36</v>
      </c>
      <c r="K18" s="41">
        <f>세출명세서!D26</f>
        <v>90196920</v>
      </c>
      <c r="L18" s="41">
        <f>세출명세서!E26</f>
        <v>95000000</v>
      </c>
      <c r="M18" s="42">
        <f t="shared" si="4"/>
        <v>4803080</v>
      </c>
      <c r="N18" s="65">
        <f t="shared" si="6"/>
        <v>5.3251042275057732E-2</v>
      </c>
    </row>
    <row r="19" spans="1:14" ht="27" customHeight="1">
      <c r="A19" s="175"/>
      <c r="B19" s="176"/>
      <c r="C19" s="176"/>
      <c r="D19" s="176"/>
      <c r="E19" s="176"/>
      <c r="F19" s="176"/>
      <c r="G19" s="177"/>
      <c r="H19" s="182"/>
      <c r="I19" s="170"/>
      <c r="J19" s="124" t="s">
        <v>37</v>
      </c>
      <c r="K19" s="41">
        <f>세출명세서!D27</f>
        <v>86841630</v>
      </c>
      <c r="L19" s="41">
        <f>세출명세서!E27</f>
        <v>91000000</v>
      </c>
      <c r="M19" s="42">
        <f t="shared" si="4"/>
        <v>4158370</v>
      </c>
      <c r="N19" s="65">
        <f t="shared" si="6"/>
        <v>4.7884522664993739E-2</v>
      </c>
    </row>
    <row r="20" spans="1:14" ht="27" customHeight="1">
      <c r="A20" s="175"/>
      <c r="B20" s="176"/>
      <c r="C20" s="176"/>
      <c r="D20" s="176"/>
      <c r="E20" s="176"/>
      <c r="F20" s="176"/>
      <c r="G20" s="177"/>
      <c r="H20" s="182"/>
      <c r="I20" s="170"/>
      <c r="J20" s="124" t="s">
        <v>38</v>
      </c>
      <c r="K20" s="41">
        <f>세출명세서!D28</f>
        <v>1700000</v>
      </c>
      <c r="L20" s="41">
        <f>세출명세서!E28</f>
        <v>2500000</v>
      </c>
      <c r="M20" s="42">
        <f t="shared" si="4"/>
        <v>800000</v>
      </c>
      <c r="N20" s="65">
        <f>(L20-K20)/K20</f>
        <v>0.47058823529411764</v>
      </c>
    </row>
    <row r="21" spans="1:14" ht="27" customHeight="1">
      <c r="A21" s="175"/>
      <c r="B21" s="176"/>
      <c r="C21" s="176"/>
      <c r="D21" s="176"/>
      <c r="E21" s="176"/>
      <c r="F21" s="176"/>
      <c r="G21" s="177"/>
      <c r="H21" s="182"/>
      <c r="I21" s="170"/>
      <c r="J21" s="124" t="s">
        <v>39</v>
      </c>
      <c r="K21" s="41">
        <f>세출명세서!D31</f>
        <v>1750000</v>
      </c>
      <c r="L21" s="41">
        <f>세출명세서!E31</f>
        <v>2500000</v>
      </c>
      <c r="M21" s="42">
        <f t="shared" si="4"/>
        <v>750000</v>
      </c>
      <c r="N21" s="65">
        <f t="shared" si="6"/>
        <v>0.42857142857142855</v>
      </c>
    </row>
    <row r="22" spans="1:14" ht="27" customHeight="1">
      <c r="A22" s="175"/>
      <c r="B22" s="176"/>
      <c r="C22" s="176"/>
      <c r="D22" s="176"/>
      <c r="E22" s="176"/>
      <c r="F22" s="176"/>
      <c r="G22" s="177"/>
      <c r="H22" s="182"/>
      <c r="I22" s="170"/>
      <c r="J22" s="124" t="s">
        <v>40</v>
      </c>
      <c r="K22" s="41">
        <f>세출명세서!D32</f>
        <v>10260000</v>
      </c>
      <c r="L22" s="41">
        <f>세출명세서!E32</f>
        <v>10980000</v>
      </c>
      <c r="M22" s="42">
        <f t="shared" si="4"/>
        <v>720000</v>
      </c>
      <c r="N22" s="65">
        <f t="shared" si="6"/>
        <v>7.0175438596491224E-2</v>
      </c>
    </row>
    <row r="23" spans="1:14" ht="27" customHeight="1">
      <c r="A23" s="175"/>
      <c r="B23" s="176"/>
      <c r="C23" s="176"/>
      <c r="D23" s="176"/>
      <c r="E23" s="176"/>
      <c r="F23" s="176"/>
      <c r="G23" s="177"/>
      <c r="H23" s="182"/>
      <c r="I23" s="170"/>
      <c r="J23" s="124" t="s">
        <v>69</v>
      </c>
      <c r="K23" s="41">
        <f>세출명세서!D33</f>
        <v>1492830</v>
      </c>
      <c r="L23" s="41">
        <f>세출명세서!E33</f>
        <v>1788150</v>
      </c>
      <c r="M23" s="42">
        <f t="shared" si="4"/>
        <v>295320</v>
      </c>
      <c r="N23" s="65">
        <f t="shared" si="6"/>
        <v>0.19782560639858524</v>
      </c>
    </row>
    <row r="24" spans="1:14" ht="27" customHeight="1">
      <c r="A24" s="175"/>
      <c r="B24" s="176"/>
      <c r="C24" s="176"/>
      <c r="D24" s="176"/>
      <c r="E24" s="176"/>
      <c r="F24" s="176"/>
      <c r="G24" s="177"/>
      <c r="H24" s="182"/>
      <c r="I24" s="170"/>
      <c r="J24" s="124" t="s">
        <v>41</v>
      </c>
      <c r="K24" s="41">
        <f>세출명세서!D34</f>
        <v>7646230</v>
      </c>
      <c r="L24" s="41">
        <f>세출명세서!E34</f>
        <v>10556550</v>
      </c>
      <c r="M24" s="42">
        <f t="shared" si="4"/>
        <v>2910320</v>
      </c>
      <c r="N24" s="65">
        <f t="shared" si="6"/>
        <v>0.38062156121382695</v>
      </c>
    </row>
    <row r="25" spans="1:14" ht="27" customHeight="1">
      <c r="A25" s="175"/>
      <c r="B25" s="176"/>
      <c r="C25" s="176"/>
      <c r="D25" s="176"/>
      <c r="E25" s="176"/>
      <c r="F25" s="176"/>
      <c r="G25" s="177"/>
      <c r="H25" s="182"/>
      <c r="I25" s="170"/>
      <c r="J25" s="125" t="s">
        <v>70</v>
      </c>
      <c r="K25" s="41">
        <f>세출명세서!D35</f>
        <v>3171690</v>
      </c>
      <c r="L25" s="41">
        <f>세출명세서!E35</f>
        <v>3000000</v>
      </c>
      <c r="M25" s="42">
        <f t="shared" ref="M25:M29" si="10">L25-K25</f>
        <v>-171690</v>
      </c>
      <c r="N25" s="65">
        <f t="shared" ref="N25:N28" si="11">(L25-K25)/K25</f>
        <v>-5.4132024252054899E-2</v>
      </c>
    </row>
    <row r="26" spans="1:14" ht="27" customHeight="1">
      <c r="A26" s="175"/>
      <c r="B26" s="176"/>
      <c r="C26" s="176"/>
      <c r="D26" s="176"/>
      <c r="E26" s="176"/>
      <c r="F26" s="176"/>
      <c r="G26" s="177"/>
      <c r="H26" s="182"/>
      <c r="I26" s="170"/>
      <c r="J26" s="126" t="s">
        <v>110</v>
      </c>
      <c r="K26" s="41">
        <f>세출명세서!D36</f>
        <v>1650000</v>
      </c>
      <c r="L26" s="41">
        <f>세출명세서!E36</f>
        <v>1980000</v>
      </c>
      <c r="M26" s="42">
        <f t="shared" si="10"/>
        <v>330000</v>
      </c>
      <c r="N26" s="65">
        <f t="shared" si="11"/>
        <v>0.2</v>
      </c>
    </row>
    <row r="27" spans="1:14" ht="27" customHeight="1">
      <c r="A27" s="175"/>
      <c r="B27" s="176"/>
      <c r="C27" s="176"/>
      <c r="D27" s="176"/>
      <c r="E27" s="176"/>
      <c r="F27" s="176"/>
      <c r="G27" s="177"/>
      <c r="H27" s="182"/>
      <c r="I27" s="170"/>
      <c r="J27" s="124" t="s">
        <v>43</v>
      </c>
      <c r="K27" s="41">
        <f>세출명세서!D37</f>
        <v>2400000</v>
      </c>
      <c r="L27" s="41">
        <f>세출명세서!E37</f>
        <v>2400000</v>
      </c>
      <c r="M27" s="42">
        <f t="shared" si="10"/>
        <v>0</v>
      </c>
      <c r="N27" s="65">
        <f t="shared" si="11"/>
        <v>0</v>
      </c>
    </row>
    <row r="28" spans="1:14" ht="27" customHeight="1">
      <c r="A28" s="175"/>
      <c r="B28" s="176"/>
      <c r="C28" s="176"/>
      <c r="D28" s="176"/>
      <c r="E28" s="176"/>
      <c r="F28" s="176"/>
      <c r="G28" s="177"/>
      <c r="H28" s="182"/>
      <c r="I28" s="170"/>
      <c r="J28" s="125" t="s">
        <v>42</v>
      </c>
      <c r="K28" s="41">
        <f>세출명세서!D38</f>
        <v>2310000</v>
      </c>
      <c r="L28" s="41">
        <f>세출명세서!E38</f>
        <v>2130000</v>
      </c>
      <c r="M28" s="42">
        <f t="shared" si="10"/>
        <v>-180000</v>
      </c>
      <c r="N28" s="65">
        <f t="shared" si="11"/>
        <v>-7.792207792207792E-2</v>
      </c>
    </row>
    <row r="29" spans="1:14" ht="27" customHeight="1">
      <c r="A29" s="175"/>
      <c r="B29" s="176"/>
      <c r="C29" s="176"/>
      <c r="D29" s="176"/>
      <c r="E29" s="176"/>
      <c r="F29" s="176"/>
      <c r="G29" s="177"/>
      <c r="H29" s="183"/>
      <c r="I29" s="170"/>
      <c r="J29" s="126" t="s">
        <v>134</v>
      </c>
      <c r="K29" s="41">
        <f>세출명세서!D39</f>
        <v>0</v>
      </c>
      <c r="L29" s="41">
        <f>세출명세서!E39</f>
        <v>10418000</v>
      </c>
      <c r="M29" s="42">
        <f t="shared" si="10"/>
        <v>10418000</v>
      </c>
      <c r="N29" s="65">
        <v>1</v>
      </c>
    </row>
    <row r="30" spans="1:14" ht="27" customHeight="1">
      <c r="A30" s="175"/>
      <c r="B30" s="176"/>
      <c r="C30" s="176"/>
      <c r="D30" s="176"/>
      <c r="E30" s="176"/>
      <c r="F30" s="176"/>
      <c r="G30" s="177"/>
      <c r="H30" s="181" t="s">
        <v>1</v>
      </c>
      <c r="I30" s="130" t="s">
        <v>3</v>
      </c>
      <c r="J30" s="14" t="s">
        <v>28</v>
      </c>
      <c r="K30" s="53">
        <f>SUM(K31:K36)</f>
        <v>100988000</v>
      </c>
      <c r="L30" s="53">
        <f t="shared" ref="L30:M30" si="12">SUM(L31:L36)</f>
        <v>110484210</v>
      </c>
      <c r="M30" s="53">
        <f t="shared" si="12"/>
        <v>9496210</v>
      </c>
      <c r="N30" s="11">
        <f t="shared" si="6"/>
        <v>9.4033053432090938E-2</v>
      </c>
    </row>
    <row r="31" spans="1:14" ht="27" customHeight="1">
      <c r="A31" s="175"/>
      <c r="B31" s="176"/>
      <c r="C31" s="176"/>
      <c r="D31" s="176"/>
      <c r="E31" s="176"/>
      <c r="F31" s="176"/>
      <c r="G31" s="177"/>
      <c r="H31" s="182"/>
      <c r="I31" s="171"/>
      <c r="J31" s="32" t="s">
        <v>44</v>
      </c>
      <c r="K31" s="41">
        <f>세출명세서!D41</f>
        <v>74057410</v>
      </c>
      <c r="L31" s="41">
        <f>세출명세서!E41</f>
        <v>78066860</v>
      </c>
      <c r="M31" s="42">
        <f t="shared" si="4"/>
        <v>4009450</v>
      </c>
      <c r="N31" s="65">
        <f t="shared" si="6"/>
        <v>5.4139754549882312E-2</v>
      </c>
    </row>
    <row r="32" spans="1:14" ht="27" customHeight="1">
      <c r="A32" s="175"/>
      <c r="B32" s="176"/>
      <c r="C32" s="176"/>
      <c r="D32" s="176"/>
      <c r="E32" s="176"/>
      <c r="F32" s="176"/>
      <c r="G32" s="177"/>
      <c r="H32" s="182"/>
      <c r="I32" s="154"/>
      <c r="J32" s="32" t="s">
        <v>45</v>
      </c>
      <c r="K32" s="41">
        <f>세출명세서!D47</f>
        <v>7382350</v>
      </c>
      <c r="L32" s="41">
        <f>세출명세서!E47</f>
        <v>7723390</v>
      </c>
      <c r="M32" s="42">
        <f t="shared" si="4"/>
        <v>341040</v>
      </c>
      <c r="N32" s="65">
        <f t="shared" si="6"/>
        <v>4.6196671791502705E-2</v>
      </c>
    </row>
    <row r="33" spans="1:14" ht="27" customHeight="1">
      <c r="A33" s="175"/>
      <c r="B33" s="176"/>
      <c r="C33" s="176"/>
      <c r="D33" s="176"/>
      <c r="E33" s="176"/>
      <c r="F33" s="176"/>
      <c r="G33" s="177"/>
      <c r="H33" s="182"/>
      <c r="I33" s="154"/>
      <c r="J33" s="32" t="s">
        <v>46</v>
      </c>
      <c r="K33" s="54">
        <f>세출명세서!D53</f>
        <v>8084920</v>
      </c>
      <c r="L33" s="54">
        <f>세출명세서!E53</f>
        <v>8964600</v>
      </c>
      <c r="M33" s="42">
        <f t="shared" si="4"/>
        <v>879680</v>
      </c>
      <c r="N33" s="65">
        <f t="shared" si="6"/>
        <v>0.10880503455816508</v>
      </c>
    </row>
    <row r="34" spans="1:14" ht="27" customHeight="1">
      <c r="A34" s="175"/>
      <c r="B34" s="176"/>
      <c r="C34" s="176"/>
      <c r="D34" s="176"/>
      <c r="E34" s="176"/>
      <c r="F34" s="176"/>
      <c r="G34" s="177"/>
      <c r="H34" s="182"/>
      <c r="I34" s="154"/>
      <c r="J34" s="32" t="s">
        <v>47</v>
      </c>
      <c r="K34" s="44">
        <f>세출명세서!D58</f>
        <v>7143320</v>
      </c>
      <c r="L34" s="44">
        <f>세출명세서!E58</f>
        <v>7809360</v>
      </c>
      <c r="M34" s="42">
        <f t="shared" si="4"/>
        <v>666040</v>
      </c>
      <c r="N34" s="65">
        <f t="shared" si="6"/>
        <v>9.3239558076636628E-2</v>
      </c>
    </row>
    <row r="35" spans="1:14" ht="27" customHeight="1">
      <c r="A35" s="175"/>
      <c r="B35" s="176"/>
      <c r="C35" s="176"/>
      <c r="D35" s="176"/>
      <c r="E35" s="176"/>
      <c r="F35" s="176"/>
      <c r="G35" s="177"/>
      <c r="H35" s="182"/>
      <c r="I35" s="154"/>
      <c r="J35" s="32" t="s">
        <v>76</v>
      </c>
      <c r="K35" s="44">
        <f>세출명세서!D61</f>
        <v>4320000</v>
      </c>
      <c r="L35" s="44">
        <f>세출명세서!E61</f>
        <v>4320000</v>
      </c>
      <c r="M35" s="42">
        <f t="shared" ref="M35:M36" si="13">L35-K35</f>
        <v>0</v>
      </c>
      <c r="N35" s="65">
        <f t="shared" ref="N35" si="14">(L35-K35)/K35</f>
        <v>0</v>
      </c>
    </row>
    <row r="36" spans="1:14" ht="27" customHeight="1">
      <c r="A36" s="175"/>
      <c r="B36" s="176"/>
      <c r="C36" s="176"/>
      <c r="D36" s="176"/>
      <c r="E36" s="176"/>
      <c r="F36" s="176"/>
      <c r="G36" s="177"/>
      <c r="H36" s="182"/>
      <c r="I36" s="154"/>
      <c r="J36" s="32" t="s">
        <v>84</v>
      </c>
      <c r="K36" s="44">
        <f>세출명세서!D62</f>
        <v>0</v>
      </c>
      <c r="L36" s="44">
        <f>세출명세서!E62</f>
        <v>3600000</v>
      </c>
      <c r="M36" s="42">
        <f t="shared" si="13"/>
        <v>3600000</v>
      </c>
      <c r="N36" s="65">
        <v>1</v>
      </c>
    </row>
    <row r="37" spans="1:14" ht="27" customHeight="1">
      <c r="A37" s="175"/>
      <c r="B37" s="176"/>
      <c r="C37" s="176"/>
      <c r="D37" s="176"/>
      <c r="E37" s="176"/>
      <c r="F37" s="176"/>
      <c r="G37" s="177"/>
      <c r="H37" s="182"/>
      <c r="I37" s="130" t="s">
        <v>48</v>
      </c>
      <c r="J37" s="14" t="s">
        <v>22</v>
      </c>
      <c r="K37" s="53">
        <f>SUM(K38:K41)</f>
        <v>31142670</v>
      </c>
      <c r="L37" s="53">
        <f t="shared" ref="L37:M37" si="15">SUM(L38:L41)</f>
        <v>15924000</v>
      </c>
      <c r="M37" s="53">
        <f t="shared" si="15"/>
        <v>-15218670</v>
      </c>
      <c r="N37" s="11">
        <f t="shared" ref="N37" si="16">(L37-K37)/K37</f>
        <v>-0.48867582644648</v>
      </c>
    </row>
    <row r="38" spans="1:14" ht="27" customHeight="1">
      <c r="A38" s="175"/>
      <c r="B38" s="176"/>
      <c r="C38" s="176"/>
      <c r="D38" s="176"/>
      <c r="E38" s="176"/>
      <c r="F38" s="176"/>
      <c r="G38" s="177"/>
      <c r="H38" s="182"/>
      <c r="I38" s="185"/>
      <c r="J38" s="32" t="s">
        <v>51</v>
      </c>
      <c r="K38" s="44">
        <f>세출명세서!D64</f>
        <v>48000</v>
      </c>
      <c r="L38" s="44">
        <f>세출명세서!E64</f>
        <v>360000</v>
      </c>
      <c r="M38" s="42">
        <f t="shared" si="4"/>
        <v>312000</v>
      </c>
      <c r="N38" s="65">
        <f t="shared" si="6"/>
        <v>6.5</v>
      </c>
    </row>
    <row r="39" spans="1:14" ht="27" customHeight="1">
      <c r="A39" s="175"/>
      <c r="B39" s="176"/>
      <c r="C39" s="176"/>
      <c r="D39" s="176"/>
      <c r="E39" s="176"/>
      <c r="F39" s="176"/>
      <c r="G39" s="177"/>
      <c r="H39" s="182"/>
      <c r="I39" s="186"/>
      <c r="J39" s="32" t="s">
        <v>2</v>
      </c>
      <c r="K39" s="44">
        <f>세출명세서!D65</f>
        <v>2234600</v>
      </c>
      <c r="L39" s="44">
        <f>세출명세서!E65</f>
        <v>1200000</v>
      </c>
      <c r="M39" s="42">
        <f t="shared" si="4"/>
        <v>-1034600</v>
      </c>
      <c r="N39" s="65">
        <f t="shared" si="6"/>
        <v>-0.46299113935379932</v>
      </c>
    </row>
    <row r="40" spans="1:14" ht="27" customHeight="1">
      <c r="A40" s="175"/>
      <c r="B40" s="176"/>
      <c r="C40" s="176"/>
      <c r="D40" s="176"/>
      <c r="E40" s="176"/>
      <c r="F40" s="176"/>
      <c r="G40" s="177"/>
      <c r="H40" s="182"/>
      <c r="I40" s="186"/>
      <c r="J40" s="32" t="s">
        <v>49</v>
      </c>
      <c r="K40" s="44">
        <f>세출명세서!D66</f>
        <v>24188570</v>
      </c>
      <c r="L40" s="44">
        <f>세출명세서!E66</f>
        <v>9400000</v>
      </c>
      <c r="M40" s="42">
        <f t="shared" si="4"/>
        <v>-14788570</v>
      </c>
      <c r="N40" s="65">
        <f t="shared" si="6"/>
        <v>-0.61138670041263288</v>
      </c>
    </row>
    <row r="41" spans="1:14" ht="27" customHeight="1" thickBot="1">
      <c r="A41" s="178"/>
      <c r="B41" s="179"/>
      <c r="C41" s="179"/>
      <c r="D41" s="179"/>
      <c r="E41" s="179"/>
      <c r="F41" s="179"/>
      <c r="G41" s="180"/>
      <c r="H41" s="184"/>
      <c r="I41" s="187"/>
      <c r="J41" s="33" t="s">
        <v>50</v>
      </c>
      <c r="K41" s="55">
        <f>세출명세서!D71</f>
        <v>4671500</v>
      </c>
      <c r="L41" s="55">
        <f>세출명세서!E71</f>
        <v>4964000</v>
      </c>
      <c r="M41" s="56">
        <f t="shared" si="4"/>
        <v>292500</v>
      </c>
      <c r="N41" s="66">
        <f t="shared" si="6"/>
        <v>6.2613721502729314E-2</v>
      </c>
    </row>
    <row r="42" spans="1:14" ht="27" customHeight="1">
      <c r="H42" s="31"/>
    </row>
    <row r="43" spans="1:14" ht="27" customHeight="1"/>
    <row r="44" spans="1:14" ht="27" customHeight="1"/>
    <row r="45" spans="1:14" ht="27" customHeight="1"/>
    <row r="46" spans="1:14" ht="27" customHeight="1"/>
    <row r="47" spans="1:14" ht="27" customHeight="1"/>
    <row r="48" spans="1:14" ht="27" customHeight="1"/>
    <row r="49" ht="27" customHeight="1"/>
    <row r="50" ht="27" customHeight="1"/>
    <row r="51" ht="27" customHeight="1"/>
    <row r="52" ht="30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</sheetData>
  <mergeCells count="28">
    <mergeCell ref="I17:I29"/>
    <mergeCell ref="I31:I36"/>
    <mergeCell ref="A14:G41"/>
    <mergeCell ref="H8:H29"/>
    <mergeCell ref="H30:H41"/>
    <mergeCell ref="I38:I41"/>
    <mergeCell ref="M5:N5"/>
    <mergeCell ref="A1:N1"/>
    <mergeCell ref="A4:G4"/>
    <mergeCell ref="H4:N4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A2:N2"/>
    <mergeCell ref="A3:N3"/>
    <mergeCell ref="L5:L6"/>
    <mergeCell ref="A7:C7"/>
    <mergeCell ref="H7:J7"/>
    <mergeCell ref="A8:A13"/>
    <mergeCell ref="B9:B13"/>
    <mergeCell ref="I9:I15"/>
  </mergeCells>
  <phoneticPr fontId="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300" verticalDpi="300" r:id="rId1"/>
  <rowBreaks count="2" manualBreakCount="2">
    <brk id="20" max="13" man="1"/>
    <brk id="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34998626667073579"/>
  </sheetPr>
  <dimension ref="A1:U51"/>
  <sheetViews>
    <sheetView zoomScaleNormal="100" workbookViewId="0">
      <selection activeCell="F18" sqref="F18"/>
    </sheetView>
  </sheetViews>
  <sheetFormatPr defaultRowHeight="16.5"/>
  <cols>
    <col min="1" max="1" width="8.88671875" style="5"/>
    <col min="2" max="2" width="10.77734375" style="5" customWidth="1"/>
    <col min="3" max="3" width="20" style="5" customWidth="1"/>
    <col min="4" max="6" width="14.77734375" style="5" customWidth="1"/>
    <col min="7" max="7" width="9.44140625" style="5" customWidth="1"/>
    <col min="8" max="8" width="4.77734375" style="5" customWidth="1"/>
    <col min="9" max="9" width="6.5546875" style="5" customWidth="1"/>
    <col min="10" max="10" width="6.33203125" style="5" customWidth="1"/>
    <col min="11" max="12" width="2.5546875" style="5" customWidth="1"/>
    <col min="13" max="14" width="2.88671875" style="5" customWidth="1"/>
    <col min="15" max="15" width="12.109375" style="5" bestFit="1" customWidth="1"/>
    <col min="16" max="16" width="23.33203125" style="2" customWidth="1"/>
    <col min="17" max="16384" width="8.88671875" style="5"/>
  </cols>
  <sheetData>
    <row r="1" spans="1:21" ht="48.75" customHeight="1">
      <c r="A1" s="213" t="s">
        <v>141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97"/>
      <c r="R1" s="97"/>
      <c r="S1" s="97"/>
      <c r="T1" s="97"/>
      <c r="U1" s="97"/>
    </row>
    <row r="2" spans="1:21" ht="20.25">
      <c r="A2" s="196" t="s">
        <v>18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21" ht="17.25" thickBot="1">
      <c r="A3" s="169" t="s">
        <v>19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17.25" customHeight="1" thickBot="1">
      <c r="A4" s="166" t="s">
        <v>8</v>
      </c>
      <c r="B4" s="197" t="s">
        <v>17</v>
      </c>
      <c r="C4" s="197" t="s">
        <v>10</v>
      </c>
      <c r="D4" s="164" t="s">
        <v>78</v>
      </c>
      <c r="E4" s="164" t="s">
        <v>79</v>
      </c>
      <c r="F4" s="197" t="s">
        <v>29</v>
      </c>
      <c r="G4" s="198"/>
      <c r="H4" s="214" t="s">
        <v>20</v>
      </c>
      <c r="I4" s="215"/>
      <c r="J4" s="215"/>
      <c r="K4" s="215"/>
      <c r="L4" s="215"/>
      <c r="M4" s="215"/>
      <c r="N4" s="215"/>
      <c r="O4" s="216"/>
      <c r="P4" s="191" t="s">
        <v>30</v>
      </c>
    </row>
    <row r="5" spans="1:21" ht="17.25" thickBot="1">
      <c r="A5" s="166"/>
      <c r="B5" s="197"/>
      <c r="C5" s="197"/>
      <c r="D5" s="165"/>
      <c r="E5" s="165"/>
      <c r="F5" s="81" t="s">
        <v>21</v>
      </c>
      <c r="G5" s="82" t="s">
        <v>15</v>
      </c>
      <c r="H5" s="214"/>
      <c r="I5" s="215"/>
      <c r="J5" s="215"/>
      <c r="K5" s="215"/>
      <c r="L5" s="215"/>
      <c r="M5" s="215"/>
      <c r="N5" s="215"/>
      <c r="O5" s="216"/>
      <c r="P5" s="192"/>
    </row>
    <row r="6" spans="1:21" ht="27" customHeight="1">
      <c r="A6" s="149" t="s">
        <v>16</v>
      </c>
      <c r="B6" s="150"/>
      <c r="C6" s="151"/>
      <c r="D6" s="40">
        <f>D7</f>
        <v>1175902000</v>
      </c>
      <c r="E6" s="48">
        <f>SUM(E7)</f>
        <v>1208262000</v>
      </c>
      <c r="F6" s="40">
        <f>E6-D6</f>
        <v>32360000</v>
      </c>
      <c r="G6" s="10">
        <f>(E6-D6)/D6</f>
        <v>2.7519300077727567E-2</v>
      </c>
      <c r="H6" s="203"/>
      <c r="I6" s="204"/>
      <c r="J6" s="204"/>
      <c r="K6" s="204"/>
      <c r="L6" s="204"/>
      <c r="M6" s="204"/>
      <c r="N6" s="204"/>
      <c r="O6" s="45"/>
      <c r="P6" s="27"/>
    </row>
    <row r="7" spans="1:21" ht="24.75" customHeight="1">
      <c r="A7" s="152" t="s">
        <v>23</v>
      </c>
      <c r="B7" s="8" t="s">
        <v>24</v>
      </c>
      <c r="C7" s="9" t="s">
        <v>22</v>
      </c>
      <c r="D7" s="43">
        <f>SUM(D8:D12)</f>
        <v>1175902000</v>
      </c>
      <c r="E7" s="43">
        <f>SUM(E8:E12)</f>
        <v>1208262000</v>
      </c>
      <c r="F7" s="40">
        <f>E7-D7</f>
        <v>32360000</v>
      </c>
      <c r="G7" s="11">
        <f t="shared" ref="G7:G11" si="0">(E7-D7)/D7</f>
        <v>2.7519300077727567E-2</v>
      </c>
      <c r="H7" s="205"/>
      <c r="I7" s="206"/>
      <c r="J7" s="206"/>
      <c r="K7" s="206"/>
      <c r="L7" s="206"/>
      <c r="M7" s="206"/>
      <c r="N7" s="206"/>
      <c r="O7" s="25"/>
      <c r="P7" s="3"/>
    </row>
    <row r="8" spans="1:21" ht="24.75" customHeight="1">
      <c r="A8" s="152"/>
      <c r="B8" s="153"/>
      <c r="C8" s="12" t="s">
        <v>25</v>
      </c>
      <c r="D8" s="50">
        <v>822292000</v>
      </c>
      <c r="E8" s="50">
        <f>O8</f>
        <v>836999800</v>
      </c>
      <c r="F8" s="51">
        <f>E8-D8</f>
        <v>14707800</v>
      </c>
      <c r="G8" s="6">
        <f t="shared" si="0"/>
        <v>1.7886346942448669E-2</v>
      </c>
      <c r="H8" s="207" t="s">
        <v>25</v>
      </c>
      <c r="I8" s="206"/>
      <c r="J8" s="206"/>
      <c r="K8" s="206"/>
      <c r="L8" s="206"/>
      <c r="M8" s="206"/>
      <c r="N8" s="208"/>
      <c r="O8" s="26">
        <v>836999800</v>
      </c>
      <c r="P8" s="193"/>
    </row>
    <row r="9" spans="1:21" ht="24.75" customHeight="1">
      <c r="A9" s="152"/>
      <c r="B9" s="153"/>
      <c r="C9" s="12" t="s">
        <v>26</v>
      </c>
      <c r="D9" s="50">
        <v>140520000</v>
      </c>
      <c r="E9" s="50">
        <f t="shared" ref="E9:E12" si="1">O9</f>
        <v>143485680</v>
      </c>
      <c r="F9" s="51">
        <f t="shared" ref="F9:F11" si="2">E9-D9</f>
        <v>2965680</v>
      </c>
      <c r="G9" s="6">
        <f t="shared" si="0"/>
        <v>2.1105038428693424E-2</v>
      </c>
      <c r="H9" s="209" t="s">
        <v>31</v>
      </c>
      <c r="I9" s="206"/>
      <c r="J9" s="206"/>
      <c r="K9" s="206"/>
      <c r="L9" s="206"/>
      <c r="M9" s="206"/>
      <c r="N9" s="208"/>
      <c r="O9" s="28">
        <v>143485680</v>
      </c>
      <c r="P9" s="194"/>
    </row>
    <row r="10" spans="1:21" ht="24.75" customHeight="1">
      <c r="A10" s="152"/>
      <c r="B10" s="153"/>
      <c r="C10" s="12" t="s">
        <v>27</v>
      </c>
      <c r="D10" s="50">
        <v>210780000</v>
      </c>
      <c r="E10" s="50">
        <f t="shared" si="1"/>
        <v>215228520</v>
      </c>
      <c r="F10" s="51">
        <f t="shared" si="2"/>
        <v>4448520</v>
      </c>
      <c r="G10" s="6">
        <f t="shared" si="0"/>
        <v>2.1105038428693424E-2</v>
      </c>
      <c r="H10" s="209" t="s">
        <v>32</v>
      </c>
      <c r="I10" s="206"/>
      <c r="J10" s="206"/>
      <c r="K10" s="206"/>
      <c r="L10" s="206"/>
      <c r="M10" s="206"/>
      <c r="N10" s="208"/>
      <c r="O10" s="29">
        <v>215228520</v>
      </c>
      <c r="P10" s="195"/>
    </row>
    <row r="11" spans="1:21" ht="24.75" customHeight="1">
      <c r="A11" s="199"/>
      <c r="B11" s="201"/>
      <c r="C11" s="120" t="s">
        <v>138</v>
      </c>
      <c r="D11" s="121">
        <v>2310000</v>
      </c>
      <c r="E11" s="50">
        <f t="shared" si="1"/>
        <v>2130000</v>
      </c>
      <c r="F11" s="51">
        <f t="shared" si="2"/>
        <v>-180000</v>
      </c>
      <c r="G11" s="6">
        <f t="shared" si="0"/>
        <v>-7.792207792207792E-2</v>
      </c>
      <c r="H11" s="210" t="s">
        <v>138</v>
      </c>
      <c r="I11" s="211"/>
      <c r="J11" s="211"/>
      <c r="K11" s="211"/>
      <c r="L11" s="211"/>
      <c r="M11" s="211"/>
      <c r="N11" s="212"/>
      <c r="O11" s="29">
        <v>2130000</v>
      </c>
      <c r="P11" s="122"/>
    </row>
    <row r="12" spans="1:21" ht="24.75" customHeight="1" thickBot="1">
      <c r="A12" s="200"/>
      <c r="B12" s="202"/>
      <c r="C12" s="30" t="s">
        <v>139</v>
      </c>
      <c r="D12" s="57">
        <v>0</v>
      </c>
      <c r="E12" s="123">
        <f t="shared" si="1"/>
        <v>10418000</v>
      </c>
      <c r="F12" s="58">
        <v>0</v>
      </c>
      <c r="G12" s="46">
        <v>1</v>
      </c>
      <c r="H12" s="188" t="s">
        <v>139</v>
      </c>
      <c r="I12" s="189"/>
      <c r="J12" s="189"/>
      <c r="K12" s="189"/>
      <c r="L12" s="189"/>
      <c r="M12" s="189"/>
      <c r="N12" s="190"/>
      <c r="O12" s="47">
        <v>10418000</v>
      </c>
      <c r="P12" s="90"/>
    </row>
    <row r="13" spans="1:21" ht="15" customHeight="1">
      <c r="A13" s="17"/>
      <c r="B13" s="17"/>
      <c r="C13" s="18"/>
      <c r="D13" s="19"/>
      <c r="E13" s="19"/>
      <c r="F13" s="19"/>
      <c r="G13" s="20"/>
      <c r="H13" s="21"/>
      <c r="I13" s="22"/>
      <c r="J13" s="23"/>
      <c r="K13" s="23"/>
      <c r="L13" s="23"/>
      <c r="M13" s="23"/>
      <c r="N13" s="23"/>
      <c r="O13" s="24"/>
      <c r="P13" s="5"/>
    </row>
    <row r="14" spans="1:21" ht="15" customHeight="1">
      <c r="A14" s="17"/>
      <c r="B14" s="17"/>
      <c r="C14" s="18"/>
      <c r="D14" s="19"/>
      <c r="E14" s="19"/>
      <c r="F14" s="19"/>
      <c r="G14" s="20"/>
      <c r="H14" s="21"/>
      <c r="I14" s="22"/>
      <c r="J14" s="23"/>
      <c r="K14" s="23"/>
      <c r="L14" s="23"/>
      <c r="M14" s="23"/>
      <c r="N14" s="23"/>
      <c r="O14" s="24"/>
      <c r="P14" s="5"/>
    </row>
    <row r="15" spans="1:21" ht="15" customHeight="1">
      <c r="A15" s="17"/>
      <c r="B15" s="17"/>
      <c r="C15" s="18"/>
      <c r="D15" s="19"/>
      <c r="E15" s="19"/>
      <c r="F15" s="19"/>
      <c r="G15" s="20"/>
      <c r="H15" s="21"/>
      <c r="I15" s="22"/>
      <c r="J15" s="23"/>
      <c r="K15" s="23"/>
      <c r="L15" s="23"/>
      <c r="M15" s="23"/>
      <c r="N15" s="23"/>
      <c r="O15" s="24"/>
      <c r="P15" s="5"/>
    </row>
    <row r="16" spans="1:21" ht="15" customHeight="1">
      <c r="A16" s="17"/>
      <c r="B16" s="17"/>
      <c r="C16" s="18"/>
      <c r="D16" s="19"/>
      <c r="E16" s="19"/>
      <c r="F16" s="19"/>
      <c r="G16" s="20"/>
      <c r="H16" s="21"/>
      <c r="I16" s="22"/>
      <c r="J16" s="23"/>
      <c r="K16" s="23"/>
      <c r="L16" s="23"/>
      <c r="M16" s="23"/>
      <c r="N16" s="23"/>
      <c r="O16" s="24"/>
      <c r="P16" s="5"/>
    </row>
    <row r="17" spans="16:16">
      <c r="P17" s="5"/>
    </row>
    <row r="18" spans="16:16">
      <c r="P18" s="5"/>
    </row>
    <row r="19" spans="16:16">
      <c r="P19" s="5"/>
    </row>
    <row r="20" spans="16:16">
      <c r="P20" s="5"/>
    </row>
    <row r="21" spans="16:16">
      <c r="P21" s="5"/>
    </row>
    <row r="22" spans="16:16">
      <c r="P22" s="5"/>
    </row>
    <row r="23" spans="16:16">
      <c r="P23" s="5"/>
    </row>
    <row r="24" spans="16:16">
      <c r="P24" s="5"/>
    </row>
    <row r="25" spans="16:16">
      <c r="P25" s="5"/>
    </row>
    <row r="26" spans="16:16">
      <c r="P26" s="5"/>
    </row>
    <row r="27" spans="16:16">
      <c r="P27" s="5"/>
    </row>
    <row r="28" spans="16:16">
      <c r="P28" s="5"/>
    </row>
    <row r="29" spans="16:16">
      <c r="P29" s="5"/>
    </row>
    <row r="30" spans="16:16">
      <c r="P30" s="5"/>
    </row>
    <row r="31" spans="16:16">
      <c r="P31" s="5"/>
    </row>
    <row r="32" spans="16:16">
      <c r="P32" s="5"/>
    </row>
    <row r="33" spans="16:16">
      <c r="P33" s="5"/>
    </row>
    <row r="34" spans="16:16">
      <c r="P34" s="5"/>
    </row>
    <row r="35" spans="16:16">
      <c r="P35" s="5"/>
    </row>
    <row r="36" spans="16:16">
      <c r="P36" s="5"/>
    </row>
    <row r="37" spans="16:16">
      <c r="P37" s="5"/>
    </row>
    <row r="38" spans="16:16">
      <c r="P38" s="5"/>
    </row>
    <row r="39" spans="16:16">
      <c r="P39" s="5"/>
    </row>
    <row r="40" spans="16:16">
      <c r="P40" s="5"/>
    </row>
    <row r="41" spans="16:16">
      <c r="P41" s="5"/>
    </row>
    <row r="42" spans="16:16">
      <c r="P42" s="5"/>
    </row>
    <row r="43" spans="16:16">
      <c r="P43" s="5"/>
    </row>
    <row r="44" spans="16:16">
      <c r="P44" s="5"/>
    </row>
    <row r="45" spans="16:16">
      <c r="P45" s="5"/>
    </row>
    <row r="46" spans="16:16">
      <c r="P46" s="5"/>
    </row>
    <row r="47" spans="16:16">
      <c r="P47" s="5"/>
    </row>
    <row r="48" spans="16:16">
      <c r="P48" s="5"/>
    </row>
    <row r="49" spans="16:16">
      <c r="P49" s="5"/>
    </row>
    <row r="50" spans="16:16">
      <c r="P50" s="5"/>
    </row>
    <row r="51" spans="16:16">
      <c r="P51" s="5"/>
    </row>
  </sheetData>
  <mergeCells count="22">
    <mergeCell ref="H11:N11"/>
    <mergeCell ref="A1:P1"/>
    <mergeCell ref="E4:E5"/>
    <mergeCell ref="A6:C6"/>
    <mergeCell ref="H4:O5"/>
    <mergeCell ref="H10:N10"/>
    <mergeCell ref="H12:N12"/>
    <mergeCell ref="P4:P5"/>
    <mergeCell ref="P8:P10"/>
    <mergeCell ref="A2:P2"/>
    <mergeCell ref="A3:P3"/>
    <mergeCell ref="F4:G4"/>
    <mergeCell ref="A7:A12"/>
    <mergeCell ref="B8:B12"/>
    <mergeCell ref="H6:N6"/>
    <mergeCell ref="H7:N7"/>
    <mergeCell ref="H8:N8"/>
    <mergeCell ref="H9:N9"/>
    <mergeCell ref="A4:A5"/>
    <mergeCell ref="B4:B5"/>
    <mergeCell ref="C4:C5"/>
    <mergeCell ref="D4:D5"/>
  </mergeCells>
  <phoneticPr fontId="8" type="noConversion"/>
  <printOptions horizontalCentered="1"/>
  <pageMargins left="0.70866141732283472" right="0.51181102362204722" top="0.74803149606299213" bottom="0.55118110236220474" header="0.31496062992125984" footer="0.31496062992125984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34998626667073579"/>
  </sheetPr>
  <dimension ref="A1:J108"/>
  <sheetViews>
    <sheetView zoomScale="115" zoomScaleNormal="115" zoomScaleSheetLayoutView="100" workbookViewId="0">
      <selection activeCell="J36" sqref="J36"/>
    </sheetView>
  </sheetViews>
  <sheetFormatPr defaultRowHeight="16.5"/>
  <cols>
    <col min="1" max="1" width="8.88671875" style="5"/>
    <col min="2" max="2" width="16" style="5" customWidth="1"/>
    <col min="3" max="3" width="26.21875" style="5" bestFit="1" customWidth="1"/>
    <col min="4" max="5" width="14.6640625" style="5" bestFit="1" customWidth="1"/>
    <col min="6" max="6" width="11.88671875" style="5" bestFit="1" customWidth="1"/>
    <col min="7" max="7" width="9.44140625" style="5" customWidth="1"/>
    <col min="8" max="8" width="30.77734375" style="105" customWidth="1"/>
    <col min="9" max="9" width="13.33203125" style="63" bestFit="1" customWidth="1"/>
    <col min="10" max="10" width="18.6640625" style="2" customWidth="1"/>
    <col min="11" max="16384" width="8.88671875" style="5"/>
  </cols>
  <sheetData>
    <row r="1" spans="1:10" ht="31.5">
      <c r="A1" s="267" t="s">
        <v>82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20.25">
      <c r="A2" s="196" t="s">
        <v>33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ht="17.25" thickBot="1">
      <c r="A3" s="169" t="s">
        <v>19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7.25" customHeight="1" thickBot="1">
      <c r="A4" s="214" t="s">
        <v>8</v>
      </c>
      <c r="B4" s="268" t="s">
        <v>17</v>
      </c>
      <c r="C4" s="269" t="s">
        <v>10</v>
      </c>
      <c r="D4" s="164" t="s">
        <v>78</v>
      </c>
      <c r="E4" s="164" t="s">
        <v>79</v>
      </c>
      <c r="F4" s="197" t="s">
        <v>29</v>
      </c>
      <c r="G4" s="198"/>
      <c r="H4" s="270" t="s">
        <v>20</v>
      </c>
      <c r="I4" s="271"/>
      <c r="J4" s="274" t="s">
        <v>30</v>
      </c>
    </row>
    <row r="5" spans="1:10" ht="17.25" thickBot="1">
      <c r="A5" s="214"/>
      <c r="B5" s="268"/>
      <c r="C5" s="269"/>
      <c r="D5" s="165"/>
      <c r="E5" s="165"/>
      <c r="F5" s="85" t="s">
        <v>21</v>
      </c>
      <c r="G5" s="99" t="s">
        <v>15</v>
      </c>
      <c r="H5" s="272"/>
      <c r="I5" s="273"/>
      <c r="J5" s="275"/>
    </row>
    <row r="6" spans="1:10" ht="17.25" thickBot="1">
      <c r="A6" s="280" t="s">
        <v>16</v>
      </c>
      <c r="B6" s="281"/>
      <c r="C6" s="281"/>
      <c r="D6" s="67">
        <f>D7+D24+D40+D63</f>
        <v>1175902000</v>
      </c>
      <c r="E6" s="67">
        <f t="shared" ref="E6:F6" si="0">E7+E24+E40+E63</f>
        <v>1208261999.5999999</v>
      </c>
      <c r="F6" s="67">
        <f t="shared" si="0"/>
        <v>32359999.600000024</v>
      </c>
      <c r="G6" s="108">
        <f>(E6-D6)/D6</f>
        <v>2.7519299737563084E-2</v>
      </c>
      <c r="H6" s="107"/>
      <c r="I6" s="38"/>
      <c r="J6" s="36"/>
    </row>
    <row r="7" spans="1:10" ht="20.25" customHeight="1">
      <c r="A7" s="279" t="s">
        <v>59</v>
      </c>
      <c r="B7" s="131" t="s">
        <v>64</v>
      </c>
      <c r="C7" s="68"/>
      <c r="D7" s="69">
        <f>SUM(D8:D23)</f>
        <v>833632030</v>
      </c>
      <c r="E7" s="60">
        <f t="shared" ref="E7:F7" si="1">SUM(E8:E23)</f>
        <v>846881089.60000002</v>
      </c>
      <c r="F7" s="139">
        <f t="shared" si="1"/>
        <v>13249059.600000024</v>
      </c>
      <c r="G7" s="109">
        <f>(E7-D7)/D7</f>
        <v>1.5893174833985235E-2</v>
      </c>
      <c r="H7" s="103"/>
      <c r="I7" s="61"/>
      <c r="J7" s="4"/>
    </row>
    <row r="8" spans="1:10" ht="18" customHeight="1">
      <c r="A8" s="279"/>
      <c r="B8" s="241"/>
      <c r="C8" s="244" t="s">
        <v>61</v>
      </c>
      <c r="D8" s="248">
        <v>635366200</v>
      </c>
      <c r="E8" s="249">
        <f>SUM(I8:I12)</f>
        <v>606343489.60000002</v>
      </c>
      <c r="F8" s="227">
        <f t="shared" ref="F8:F38" si="2">E8-D8</f>
        <v>-29022710.399999976</v>
      </c>
      <c r="G8" s="217">
        <f t="shared" ref="G8:G38" si="3">(E8-D8)/D8</f>
        <v>-4.5678713157860734E-2</v>
      </c>
      <c r="H8" s="111" t="s">
        <v>86</v>
      </c>
      <c r="I8" s="112">
        <f>44*8968*840</f>
        <v>331457280</v>
      </c>
      <c r="J8" s="94"/>
    </row>
    <row r="9" spans="1:10" ht="18" customHeight="1">
      <c r="A9" s="279"/>
      <c r="B9" s="242"/>
      <c r="C9" s="222"/>
      <c r="D9" s="236"/>
      <c r="E9" s="239"/>
      <c r="F9" s="228"/>
      <c r="G9" s="218"/>
      <c r="H9" s="111" t="s">
        <v>87</v>
      </c>
      <c r="I9" s="112">
        <f>18*7913*840</f>
        <v>119644560</v>
      </c>
      <c r="J9" s="95"/>
    </row>
    <row r="10" spans="1:10" ht="18" customHeight="1">
      <c r="A10" s="279"/>
      <c r="B10" s="242"/>
      <c r="C10" s="222"/>
      <c r="D10" s="236"/>
      <c r="E10" s="239"/>
      <c r="F10" s="228"/>
      <c r="G10" s="218"/>
      <c r="H10" s="111" t="s">
        <v>88</v>
      </c>
      <c r="I10" s="112">
        <f>19*6330*840</f>
        <v>101026800</v>
      </c>
      <c r="J10" s="95"/>
    </row>
    <row r="11" spans="1:10" ht="18" customHeight="1">
      <c r="A11" s="279"/>
      <c r="B11" s="242"/>
      <c r="C11" s="222"/>
      <c r="D11" s="236"/>
      <c r="E11" s="239"/>
      <c r="F11" s="228"/>
      <c r="G11" s="218"/>
      <c r="H11" s="111" t="s">
        <v>89</v>
      </c>
      <c r="I11" s="112">
        <f>18*2110*840</f>
        <v>31903200</v>
      </c>
      <c r="J11" s="95"/>
    </row>
    <row r="12" spans="1:10" ht="18" customHeight="1">
      <c r="A12" s="279"/>
      <c r="B12" s="242"/>
      <c r="C12" s="230"/>
      <c r="D12" s="237"/>
      <c r="E12" s="240"/>
      <c r="F12" s="229"/>
      <c r="G12" s="220"/>
      <c r="H12" s="111" t="s">
        <v>142</v>
      </c>
      <c r="I12" s="112">
        <f>16.78*1583*840-1052</f>
        <v>22311649.600000001</v>
      </c>
      <c r="J12" s="96"/>
    </row>
    <row r="13" spans="1:10" ht="18" customHeight="1">
      <c r="A13" s="279"/>
      <c r="B13" s="242"/>
      <c r="C13" s="245" t="s">
        <v>62</v>
      </c>
      <c r="D13" s="256">
        <v>59035200</v>
      </c>
      <c r="E13" s="238">
        <f>SUM(I13:I15)</f>
        <v>62037600</v>
      </c>
      <c r="F13" s="227">
        <f t="shared" si="2"/>
        <v>3002400</v>
      </c>
      <c r="G13" s="217">
        <f t="shared" si="3"/>
        <v>5.0857793316529801E-2</v>
      </c>
      <c r="H13" s="111" t="s">
        <v>90</v>
      </c>
      <c r="I13" s="112">
        <f>2*8968*200*12</f>
        <v>43046400</v>
      </c>
      <c r="J13" s="95"/>
    </row>
    <row r="14" spans="1:10" ht="18" customHeight="1">
      <c r="A14" s="279"/>
      <c r="B14" s="242"/>
      <c r="C14" s="246"/>
      <c r="D14" s="257"/>
      <c r="E14" s="239"/>
      <c r="F14" s="228"/>
      <c r="G14" s="218"/>
      <c r="H14" s="111" t="s">
        <v>91</v>
      </c>
      <c r="I14" s="112">
        <f>1*6330*200*12</f>
        <v>15192000</v>
      </c>
      <c r="J14" s="95"/>
    </row>
    <row r="15" spans="1:10" ht="18" customHeight="1">
      <c r="A15" s="279"/>
      <c r="B15" s="242"/>
      <c r="C15" s="247"/>
      <c r="D15" s="266"/>
      <c r="E15" s="240"/>
      <c r="F15" s="229"/>
      <c r="G15" s="220"/>
      <c r="H15" s="111" t="s">
        <v>92</v>
      </c>
      <c r="I15" s="112">
        <f>1*1583*200*12</f>
        <v>3799200</v>
      </c>
      <c r="J15" s="96"/>
    </row>
    <row r="16" spans="1:10" ht="18" customHeight="1">
      <c r="A16" s="279"/>
      <c r="B16" s="242"/>
      <c r="C16" s="72" t="s">
        <v>54</v>
      </c>
      <c r="D16" s="70">
        <v>66311000</v>
      </c>
      <c r="E16" s="41">
        <f>I16</f>
        <v>72000000</v>
      </c>
      <c r="F16" s="75">
        <f t="shared" si="2"/>
        <v>5689000</v>
      </c>
      <c r="G16" s="98">
        <f t="shared" si="3"/>
        <v>8.579270407624677E-2</v>
      </c>
      <c r="H16" s="111" t="s">
        <v>93</v>
      </c>
      <c r="I16" s="112">
        <f>6000000*12</f>
        <v>72000000</v>
      </c>
      <c r="J16" s="96"/>
    </row>
    <row r="17" spans="1:10" ht="18" customHeight="1">
      <c r="A17" s="279"/>
      <c r="B17" s="242"/>
      <c r="C17" s="221" t="s">
        <v>55</v>
      </c>
      <c r="D17" s="235">
        <v>31200000</v>
      </c>
      <c r="E17" s="238">
        <f>SUM(I17:I20)</f>
        <v>36500000</v>
      </c>
      <c r="F17" s="227">
        <f t="shared" si="2"/>
        <v>5300000</v>
      </c>
      <c r="G17" s="217">
        <f t="shared" si="3"/>
        <v>0.16987179487179488</v>
      </c>
      <c r="H17" s="113" t="s">
        <v>94</v>
      </c>
      <c r="I17" s="112">
        <f>24*800000</f>
        <v>19200000</v>
      </c>
      <c r="J17" s="95"/>
    </row>
    <row r="18" spans="1:10" ht="18" customHeight="1">
      <c r="A18" s="279"/>
      <c r="B18" s="242"/>
      <c r="C18" s="222"/>
      <c r="D18" s="236"/>
      <c r="E18" s="239"/>
      <c r="F18" s="228"/>
      <c r="G18" s="218"/>
      <c r="H18" s="113" t="s">
        <v>95</v>
      </c>
      <c r="I18" s="112">
        <f>17*600000</f>
        <v>10200000</v>
      </c>
      <c r="J18" s="95"/>
    </row>
    <row r="19" spans="1:10" ht="18" customHeight="1">
      <c r="A19" s="279"/>
      <c r="B19" s="242"/>
      <c r="C19" s="222"/>
      <c r="D19" s="236"/>
      <c r="E19" s="239"/>
      <c r="F19" s="228"/>
      <c r="G19" s="218"/>
      <c r="H19" s="113" t="s">
        <v>96</v>
      </c>
      <c r="I19" s="112">
        <f>15.5*400000</f>
        <v>6200000</v>
      </c>
      <c r="J19" s="95"/>
    </row>
    <row r="20" spans="1:10" ht="18" customHeight="1">
      <c r="A20" s="279"/>
      <c r="B20" s="242"/>
      <c r="C20" s="230"/>
      <c r="D20" s="237"/>
      <c r="E20" s="240"/>
      <c r="F20" s="229"/>
      <c r="G20" s="220"/>
      <c r="H20" s="113" t="s">
        <v>97</v>
      </c>
      <c r="I20" s="112">
        <f>4.5*200000</f>
        <v>900000</v>
      </c>
      <c r="J20" s="96"/>
    </row>
    <row r="21" spans="1:10" ht="18" customHeight="1">
      <c r="A21" s="279"/>
      <c r="B21" s="242"/>
      <c r="C21" s="72" t="s">
        <v>83</v>
      </c>
      <c r="D21" s="70">
        <v>10600000</v>
      </c>
      <c r="E21" s="41">
        <f>I21</f>
        <v>30000000</v>
      </c>
      <c r="F21" s="75">
        <f t="shared" si="2"/>
        <v>19400000</v>
      </c>
      <c r="G21" s="110">
        <f>F21/E21</f>
        <v>0.64666666666666661</v>
      </c>
      <c r="H21" s="113" t="s">
        <v>98</v>
      </c>
      <c r="I21" s="112">
        <v>30000000</v>
      </c>
      <c r="J21" s="96"/>
    </row>
    <row r="22" spans="1:10" ht="18" customHeight="1">
      <c r="A22" s="279"/>
      <c r="B22" s="242"/>
      <c r="C22" s="72" t="s">
        <v>56</v>
      </c>
      <c r="D22" s="70">
        <v>20119630</v>
      </c>
      <c r="E22" s="41">
        <f t="shared" ref="E22:E23" si="4">I22</f>
        <v>40000000</v>
      </c>
      <c r="F22" s="75">
        <f t="shared" si="2"/>
        <v>19880370</v>
      </c>
      <c r="G22" s="110">
        <f>F22/E22</f>
        <v>0.49700925000000001</v>
      </c>
      <c r="H22" s="113" t="s">
        <v>99</v>
      </c>
      <c r="I22" s="112">
        <v>40000000</v>
      </c>
      <c r="J22" s="96"/>
    </row>
    <row r="23" spans="1:10" ht="18" customHeight="1">
      <c r="A23" s="279"/>
      <c r="B23" s="243"/>
      <c r="C23" s="74" t="s">
        <v>57</v>
      </c>
      <c r="D23" s="134">
        <v>11000000</v>
      </c>
      <c r="E23" s="134">
        <f t="shared" si="4"/>
        <v>0</v>
      </c>
      <c r="F23" s="75">
        <f t="shared" si="2"/>
        <v>-11000000</v>
      </c>
      <c r="G23" s="135">
        <v>-1</v>
      </c>
      <c r="H23" s="101" t="s">
        <v>58</v>
      </c>
      <c r="I23" s="102">
        <v>0</v>
      </c>
      <c r="J23" s="96"/>
    </row>
    <row r="24" spans="1:10" ht="18" customHeight="1">
      <c r="A24" s="279"/>
      <c r="B24" s="131" t="s">
        <v>34</v>
      </c>
      <c r="C24" s="68"/>
      <c r="D24" s="137">
        <f>SUM(D25:D39)</f>
        <v>210139300</v>
      </c>
      <c r="E24" s="53">
        <f t="shared" ref="E24:F24" si="5">SUM(E25:E39)</f>
        <v>234972700</v>
      </c>
      <c r="F24" s="138">
        <f t="shared" si="5"/>
        <v>24833400</v>
      </c>
      <c r="G24" s="109">
        <f>(E24-D24)/D24</f>
        <v>0.11817589570346908</v>
      </c>
      <c r="H24" s="101"/>
      <c r="I24" s="102"/>
      <c r="J24" s="96"/>
    </row>
    <row r="25" spans="1:10" ht="18" customHeight="1">
      <c r="A25" s="279"/>
      <c r="B25" s="277"/>
      <c r="C25" s="72" t="s">
        <v>35</v>
      </c>
      <c r="D25" s="41">
        <v>720000</v>
      </c>
      <c r="E25" s="41">
        <f>I25</f>
        <v>720000</v>
      </c>
      <c r="F25" s="75">
        <f t="shared" si="2"/>
        <v>0</v>
      </c>
      <c r="G25" s="110">
        <f t="shared" ref="G25:G27" si="6">F25/E25</f>
        <v>0</v>
      </c>
      <c r="H25" s="113" t="s">
        <v>100</v>
      </c>
      <c r="I25" s="112">
        <v>720000</v>
      </c>
      <c r="J25" s="96"/>
    </row>
    <row r="26" spans="1:10" ht="18" customHeight="1">
      <c r="A26" s="279"/>
      <c r="B26" s="278"/>
      <c r="C26" s="72" t="s">
        <v>36</v>
      </c>
      <c r="D26" s="41">
        <v>90196920</v>
      </c>
      <c r="E26" s="41">
        <f t="shared" ref="E26:E27" si="7">I26</f>
        <v>95000000</v>
      </c>
      <c r="F26" s="75">
        <f t="shared" si="2"/>
        <v>4803080</v>
      </c>
      <c r="G26" s="110">
        <f t="shared" si="6"/>
        <v>5.055873684210526E-2</v>
      </c>
      <c r="H26" s="113" t="s">
        <v>101</v>
      </c>
      <c r="I26" s="112">
        <v>95000000</v>
      </c>
      <c r="J26" s="96"/>
    </row>
    <row r="27" spans="1:10" ht="18" customHeight="1">
      <c r="A27" s="279"/>
      <c r="B27" s="278"/>
      <c r="C27" s="72" t="s">
        <v>37</v>
      </c>
      <c r="D27" s="41">
        <v>86841630</v>
      </c>
      <c r="E27" s="41">
        <f t="shared" si="7"/>
        <v>91000000</v>
      </c>
      <c r="F27" s="75">
        <f t="shared" si="2"/>
        <v>4158370</v>
      </c>
      <c r="G27" s="110">
        <f t="shared" si="6"/>
        <v>4.5696373626373625E-2</v>
      </c>
      <c r="H27" s="113" t="s">
        <v>102</v>
      </c>
      <c r="I27" s="112">
        <v>91000000</v>
      </c>
      <c r="J27" s="96"/>
    </row>
    <row r="28" spans="1:10" ht="18" customHeight="1">
      <c r="A28" s="279"/>
      <c r="B28" s="278"/>
      <c r="C28" s="232" t="s">
        <v>38</v>
      </c>
      <c r="D28" s="235">
        <v>1700000</v>
      </c>
      <c r="E28" s="238">
        <f>SUM(I28:I30)</f>
        <v>2500000</v>
      </c>
      <c r="F28" s="227">
        <f t="shared" si="2"/>
        <v>800000</v>
      </c>
      <c r="G28" s="217">
        <f t="shared" si="3"/>
        <v>0.47058823529411764</v>
      </c>
      <c r="H28" s="113" t="s">
        <v>103</v>
      </c>
      <c r="I28" s="112">
        <f>10000*100</f>
        <v>1000000</v>
      </c>
      <c r="J28" s="95"/>
    </row>
    <row r="29" spans="1:10" ht="18" customHeight="1">
      <c r="A29" s="279"/>
      <c r="B29" s="278"/>
      <c r="C29" s="233"/>
      <c r="D29" s="236"/>
      <c r="E29" s="239"/>
      <c r="F29" s="228"/>
      <c r="G29" s="218"/>
      <c r="H29" s="113" t="s">
        <v>104</v>
      </c>
      <c r="I29" s="112">
        <f>10000*100</f>
        <v>1000000</v>
      </c>
      <c r="J29" s="95"/>
    </row>
    <row r="30" spans="1:10" ht="18" customHeight="1">
      <c r="A30" s="279"/>
      <c r="B30" s="278"/>
      <c r="C30" s="234"/>
      <c r="D30" s="237"/>
      <c r="E30" s="240"/>
      <c r="F30" s="229"/>
      <c r="G30" s="220"/>
      <c r="H30" s="113" t="s">
        <v>105</v>
      </c>
      <c r="I30" s="112">
        <f>10*5000*10</f>
        <v>500000</v>
      </c>
      <c r="J30" s="95"/>
    </row>
    <row r="31" spans="1:10" ht="18" customHeight="1">
      <c r="A31" s="279"/>
      <c r="B31" s="278"/>
      <c r="C31" s="72" t="s">
        <v>39</v>
      </c>
      <c r="D31" s="70">
        <v>1750000</v>
      </c>
      <c r="E31" s="41">
        <f>I31</f>
        <v>2500000</v>
      </c>
      <c r="F31" s="75">
        <f t="shared" si="2"/>
        <v>750000</v>
      </c>
      <c r="G31" s="98">
        <f t="shared" si="3"/>
        <v>0.42857142857142855</v>
      </c>
      <c r="H31" s="113" t="s">
        <v>106</v>
      </c>
      <c r="I31" s="112">
        <v>2500000</v>
      </c>
      <c r="J31" s="95"/>
    </row>
    <row r="32" spans="1:10" ht="18" customHeight="1">
      <c r="A32" s="279"/>
      <c r="B32" s="278"/>
      <c r="C32" s="73" t="s">
        <v>67</v>
      </c>
      <c r="D32" s="89">
        <v>10260000</v>
      </c>
      <c r="E32" s="41">
        <f t="shared" ref="E32:E39" si="8">I32</f>
        <v>10980000</v>
      </c>
      <c r="F32" s="76">
        <f t="shared" si="2"/>
        <v>720000</v>
      </c>
      <c r="G32" s="98">
        <f t="shared" si="3"/>
        <v>7.0175438596491224E-2</v>
      </c>
      <c r="H32" s="113" t="s">
        <v>107</v>
      </c>
      <c r="I32" s="112">
        <f>61*180000</f>
        <v>10980000</v>
      </c>
      <c r="J32" s="95"/>
    </row>
    <row r="33" spans="1:10" ht="18" customHeight="1">
      <c r="A33" s="279"/>
      <c r="B33" s="278"/>
      <c r="C33" s="73" t="s">
        <v>68</v>
      </c>
      <c r="D33" s="70">
        <v>1492830</v>
      </c>
      <c r="E33" s="41">
        <f t="shared" si="8"/>
        <v>1788150</v>
      </c>
      <c r="F33" s="76">
        <f t="shared" si="2"/>
        <v>295320</v>
      </c>
      <c r="G33" s="98">
        <f t="shared" si="3"/>
        <v>0.19782560639858524</v>
      </c>
      <c r="H33" s="114" t="s">
        <v>108</v>
      </c>
      <c r="I33" s="112">
        <f>65*9170*3</f>
        <v>1788150</v>
      </c>
      <c r="J33" s="95"/>
    </row>
    <row r="34" spans="1:10" ht="18" customHeight="1">
      <c r="A34" s="279"/>
      <c r="B34" s="278"/>
      <c r="C34" s="72" t="s">
        <v>41</v>
      </c>
      <c r="D34" s="70">
        <v>7646230</v>
      </c>
      <c r="E34" s="41">
        <f t="shared" si="8"/>
        <v>10556550</v>
      </c>
      <c r="F34" s="75">
        <f t="shared" si="2"/>
        <v>2910320</v>
      </c>
      <c r="G34" s="98">
        <f t="shared" si="3"/>
        <v>0.38062156121382695</v>
      </c>
      <c r="H34" s="113" t="s">
        <v>137</v>
      </c>
      <c r="I34" s="112">
        <v>10556550</v>
      </c>
      <c r="J34" s="95"/>
    </row>
    <row r="35" spans="1:10" ht="18" customHeight="1">
      <c r="A35" s="279"/>
      <c r="B35" s="278"/>
      <c r="C35" s="91" t="s">
        <v>72</v>
      </c>
      <c r="D35" s="89">
        <v>3171690</v>
      </c>
      <c r="E35" s="41">
        <f t="shared" si="8"/>
        <v>3000000</v>
      </c>
      <c r="F35" s="75">
        <f t="shared" ref="F35:F36" si="9">E35-D35</f>
        <v>-171690</v>
      </c>
      <c r="G35" s="98">
        <f t="shared" si="3"/>
        <v>-5.4132024252054899E-2</v>
      </c>
      <c r="H35" s="93" t="s">
        <v>109</v>
      </c>
      <c r="I35" s="112">
        <v>3000000</v>
      </c>
      <c r="J35" s="95"/>
    </row>
    <row r="36" spans="1:10" ht="18" customHeight="1">
      <c r="A36" s="279"/>
      <c r="B36" s="278"/>
      <c r="C36" s="74" t="s">
        <v>110</v>
      </c>
      <c r="D36" s="71">
        <v>1650000</v>
      </c>
      <c r="E36" s="41">
        <f t="shared" si="8"/>
        <v>1980000</v>
      </c>
      <c r="F36" s="75">
        <f t="shared" si="9"/>
        <v>330000</v>
      </c>
      <c r="G36" s="98">
        <f t="shared" si="3"/>
        <v>0.2</v>
      </c>
      <c r="H36" s="93" t="s">
        <v>133</v>
      </c>
      <c r="I36" s="112">
        <f>165000*12</f>
        <v>1980000</v>
      </c>
      <c r="J36" s="95"/>
    </row>
    <row r="37" spans="1:10" ht="30" customHeight="1">
      <c r="A37" s="279"/>
      <c r="B37" s="278"/>
      <c r="C37" s="74" t="s">
        <v>63</v>
      </c>
      <c r="D37" s="71">
        <v>2400000</v>
      </c>
      <c r="E37" s="41">
        <f t="shared" si="8"/>
        <v>2400000</v>
      </c>
      <c r="F37" s="75">
        <f t="shared" si="2"/>
        <v>0</v>
      </c>
      <c r="G37" s="98">
        <f t="shared" si="3"/>
        <v>0</v>
      </c>
      <c r="H37" s="93" t="s">
        <v>73</v>
      </c>
      <c r="I37" s="112">
        <f>200000*12</f>
        <v>2400000</v>
      </c>
      <c r="J37" s="95"/>
    </row>
    <row r="38" spans="1:10" ht="18" customHeight="1">
      <c r="A38" s="100"/>
      <c r="B38" s="106"/>
      <c r="C38" s="79" t="s">
        <v>42</v>
      </c>
      <c r="D38" s="70">
        <v>2310000</v>
      </c>
      <c r="E38" s="41">
        <v>2130000</v>
      </c>
      <c r="F38" s="75">
        <f t="shared" si="2"/>
        <v>-180000</v>
      </c>
      <c r="G38" s="98">
        <f t="shared" si="3"/>
        <v>-7.792207792207792E-2</v>
      </c>
      <c r="H38" s="93" t="s">
        <v>136</v>
      </c>
      <c r="I38" s="112">
        <f>30000*71</f>
        <v>2130000</v>
      </c>
      <c r="J38" s="95"/>
    </row>
    <row r="39" spans="1:10" ht="18" customHeight="1" thickBot="1">
      <c r="A39" s="86"/>
      <c r="B39" s="132"/>
      <c r="C39" s="133" t="s">
        <v>134</v>
      </c>
      <c r="D39" s="70">
        <v>0</v>
      </c>
      <c r="E39" s="41">
        <f t="shared" si="8"/>
        <v>10418000</v>
      </c>
      <c r="F39" s="75">
        <f t="shared" ref="F39" si="10">E39-D39</f>
        <v>10418000</v>
      </c>
      <c r="G39" s="141">
        <v>1</v>
      </c>
      <c r="H39" s="118" t="s">
        <v>135</v>
      </c>
      <c r="I39" s="142">
        <v>10418000</v>
      </c>
      <c r="J39" s="95"/>
    </row>
    <row r="40" spans="1:10" ht="18" customHeight="1">
      <c r="A40" s="250" t="s">
        <v>60</v>
      </c>
      <c r="B40" s="131" t="s">
        <v>3</v>
      </c>
      <c r="C40" s="68"/>
      <c r="D40" s="140">
        <f>SUM(D41:D62)</f>
        <v>100988000</v>
      </c>
      <c r="E40" s="143">
        <f t="shared" ref="E40:F40" si="11">SUM(E41:E62)</f>
        <v>110484210</v>
      </c>
      <c r="F40" s="139">
        <f t="shared" si="11"/>
        <v>9496210</v>
      </c>
      <c r="G40" s="109">
        <f>(E40-D40)/D40</f>
        <v>9.4033053432090938E-2</v>
      </c>
      <c r="H40" s="37"/>
      <c r="I40" s="38"/>
      <c r="J40" s="77"/>
    </row>
    <row r="41" spans="1:10" ht="18" customHeight="1">
      <c r="A41" s="251"/>
      <c r="B41" s="34"/>
      <c r="C41" s="244" t="s">
        <v>44</v>
      </c>
      <c r="D41" s="256">
        <v>74057410</v>
      </c>
      <c r="E41" s="238">
        <f>SUM(I41:I46)</f>
        <v>78066860</v>
      </c>
      <c r="F41" s="227">
        <f t="shared" ref="F41:F66" si="12">E41-D41</f>
        <v>4009450</v>
      </c>
      <c r="G41" s="217">
        <f t="shared" ref="G41:G66" si="13">(E41-D41)/D41</f>
        <v>5.4139754549882312E-2</v>
      </c>
      <c r="H41" s="93" t="s">
        <v>118</v>
      </c>
      <c r="I41" s="115">
        <f>2184110*2</f>
        <v>4368220</v>
      </c>
      <c r="J41" s="282"/>
    </row>
    <row r="42" spans="1:10" ht="18" customHeight="1">
      <c r="A42" s="251"/>
      <c r="B42" s="35"/>
      <c r="C42" s="222"/>
      <c r="D42" s="257"/>
      <c r="E42" s="239"/>
      <c r="F42" s="228"/>
      <c r="G42" s="218"/>
      <c r="H42" s="93" t="s">
        <v>119</v>
      </c>
      <c r="I42" s="115">
        <f>2272860*10</f>
        <v>22728600</v>
      </c>
      <c r="J42" s="276"/>
    </row>
    <row r="43" spans="1:10" ht="18" customHeight="1">
      <c r="A43" s="251"/>
      <c r="B43" s="35"/>
      <c r="C43" s="222"/>
      <c r="D43" s="257"/>
      <c r="E43" s="239"/>
      <c r="F43" s="228"/>
      <c r="G43" s="218"/>
      <c r="H43" s="93" t="s">
        <v>120</v>
      </c>
      <c r="I43" s="115">
        <f>2027010*4</f>
        <v>8108040</v>
      </c>
      <c r="J43" s="276"/>
    </row>
    <row r="44" spans="1:10" ht="18" customHeight="1">
      <c r="A44" s="251"/>
      <c r="B44" s="35"/>
      <c r="C44" s="222"/>
      <c r="D44" s="257"/>
      <c r="E44" s="239"/>
      <c r="F44" s="228"/>
      <c r="G44" s="218"/>
      <c r="H44" s="93" t="s">
        <v>121</v>
      </c>
      <c r="I44" s="115">
        <f>2102090*8</f>
        <v>16816720</v>
      </c>
      <c r="J44" s="276"/>
    </row>
    <row r="45" spans="1:10" ht="18" customHeight="1">
      <c r="A45" s="251"/>
      <c r="B45" s="35"/>
      <c r="C45" s="222"/>
      <c r="D45" s="257"/>
      <c r="E45" s="239"/>
      <c r="F45" s="228"/>
      <c r="G45" s="218"/>
      <c r="H45" s="93" t="s">
        <v>122</v>
      </c>
      <c r="I45" s="115">
        <f>2102090*2</f>
        <v>4204180</v>
      </c>
      <c r="J45" s="276"/>
    </row>
    <row r="46" spans="1:10" ht="18" customHeight="1">
      <c r="A46" s="251"/>
      <c r="B46" s="35"/>
      <c r="C46" s="230"/>
      <c r="D46" s="266"/>
      <c r="E46" s="240"/>
      <c r="F46" s="229"/>
      <c r="G46" s="220"/>
      <c r="H46" s="93" t="s">
        <v>123</v>
      </c>
      <c r="I46" s="115">
        <f>2184110*10</f>
        <v>21841100</v>
      </c>
      <c r="J46" s="276"/>
    </row>
    <row r="47" spans="1:10" ht="18" customHeight="1">
      <c r="A47" s="251"/>
      <c r="B47" s="35"/>
      <c r="C47" s="221" t="s">
        <v>45</v>
      </c>
      <c r="D47" s="256">
        <v>7382350</v>
      </c>
      <c r="E47" s="238">
        <f>SUM(I47:I52)</f>
        <v>7723390</v>
      </c>
      <c r="F47" s="227">
        <f t="shared" si="12"/>
        <v>341040</v>
      </c>
      <c r="G47" s="217">
        <f t="shared" si="13"/>
        <v>4.6196671791502705E-2</v>
      </c>
      <c r="H47" s="93" t="s">
        <v>124</v>
      </c>
      <c r="I47" s="115">
        <v>1310470</v>
      </c>
      <c r="J47" s="276"/>
    </row>
    <row r="48" spans="1:10" ht="18" customHeight="1">
      <c r="A48" s="251"/>
      <c r="B48" s="35"/>
      <c r="C48" s="222"/>
      <c r="D48" s="257"/>
      <c r="E48" s="239"/>
      <c r="F48" s="228"/>
      <c r="G48" s="218"/>
      <c r="H48" s="93" t="s">
        <v>111</v>
      </c>
      <c r="I48" s="115">
        <v>1363720</v>
      </c>
      <c r="J48" s="276"/>
    </row>
    <row r="49" spans="1:10" ht="18" customHeight="1">
      <c r="A49" s="251"/>
      <c r="B49" s="35"/>
      <c r="C49" s="222"/>
      <c r="D49" s="257"/>
      <c r="E49" s="239"/>
      <c r="F49" s="228"/>
      <c r="G49" s="218"/>
      <c r="H49" s="93" t="s">
        <v>112</v>
      </c>
      <c r="I49" s="115">
        <v>1216210</v>
      </c>
      <c r="J49" s="276"/>
    </row>
    <row r="50" spans="1:10" ht="18" customHeight="1">
      <c r="A50" s="251"/>
      <c r="B50" s="35"/>
      <c r="C50" s="222"/>
      <c r="D50" s="257"/>
      <c r="E50" s="239"/>
      <c r="F50" s="228"/>
      <c r="G50" s="218"/>
      <c r="H50" s="93" t="s">
        <v>113</v>
      </c>
      <c r="I50" s="115">
        <v>1261260</v>
      </c>
      <c r="J50" s="276"/>
    </row>
    <row r="51" spans="1:10" ht="18" customHeight="1">
      <c r="A51" s="251"/>
      <c r="B51" s="35"/>
      <c r="C51" s="222"/>
      <c r="D51" s="257"/>
      <c r="E51" s="239"/>
      <c r="F51" s="228"/>
      <c r="G51" s="218"/>
      <c r="H51" s="93" t="s">
        <v>114</v>
      </c>
      <c r="I51" s="115">
        <v>1261260</v>
      </c>
      <c r="J51" s="276"/>
    </row>
    <row r="52" spans="1:10" ht="18" customHeight="1">
      <c r="A52" s="251"/>
      <c r="B52" s="35"/>
      <c r="C52" s="230"/>
      <c r="D52" s="258"/>
      <c r="E52" s="259"/>
      <c r="F52" s="229"/>
      <c r="G52" s="220"/>
      <c r="H52" s="93" t="s">
        <v>115</v>
      </c>
      <c r="I52" s="115">
        <v>1310470</v>
      </c>
      <c r="J52" s="276"/>
    </row>
    <row r="53" spans="1:10" ht="18" customHeight="1">
      <c r="A53" s="251"/>
      <c r="B53" s="35"/>
      <c r="C53" s="221" t="s">
        <v>46</v>
      </c>
      <c r="D53" s="224">
        <v>8084920</v>
      </c>
      <c r="E53" s="227">
        <f>SUM(I53:I57)</f>
        <v>8964600</v>
      </c>
      <c r="F53" s="227">
        <f t="shared" si="12"/>
        <v>879680</v>
      </c>
      <c r="G53" s="217">
        <f t="shared" si="13"/>
        <v>0.10880503455816508</v>
      </c>
      <c r="H53" s="128" t="s">
        <v>143</v>
      </c>
      <c r="I53" s="129">
        <f>315180*12</f>
        <v>3782160</v>
      </c>
      <c r="J53" s="276"/>
    </row>
    <row r="54" spans="1:10" ht="18" customHeight="1">
      <c r="A54" s="251"/>
      <c r="B54" s="35"/>
      <c r="C54" s="222"/>
      <c r="D54" s="225"/>
      <c r="E54" s="228"/>
      <c r="F54" s="228"/>
      <c r="G54" s="218"/>
      <c r="H54" s="128" t="s">
        <v>144</v>
      </c>
      <c r="I54" s="129">
        <f>273343*12+4</f>
        <v>3280120</v>
      </c>
      <c r="J54" s="276"/>
    </row>
    <row r="55" spans="1:10" ht="18" customHeight="1">
      <c r="A55" s="251"/>
      <c r="B55" s="35"/>
      <c r="C55" s="222"/>
      <c r="D55" s="225"/>
      <c r="E55" s="228"/>
      <c r="F55" s="228"/>
      <c r="G55" s="218"/>
      <c r="H55" s="128" t="s">
        <v>145</v>
      </c>
      <c r="I55" s="129">
        <f>33553*12-6</f>
        <v>402630</v>
      </c>
      <c r="J55" s="276"/>
    </row>
    <row r="56" spans="1:10" ht="18" customHeight="1">
      <c r="A56" s="251"/>
      <c r="B56" s="35"/>
      <c r="C56" s="222"/>
      <c r="D56" s="225"/>
      <c r="E56" s="228"/>
      <c r="F56" s="228"/>
      <c r="G56" s="218"/>
      <c r="H56" s="128" t="s">
        <v>146</v>
      </c>
      <c r="I56" s="129">
        <f>70294*12+2</f>
        <v>843530</v>
      </c>
      <c r="J56" s="276"/>
    </row>
    <row r="57" spans="1:10" ht="18" customHeight="1">
      <c r="A57" s="251"/>
      <c r="B57" s="35"/>
      <c r="C57" s="230"/>
      <c r="D57" s="226"/>
      <c r="E57" s="229"/>
      <c r="F57" s="229"/>
      <c r="G57" s="220"/>
      <c r="H57" s="128" t="s">
        <v>147</v>
      </c>
      <c r="I57" s="129">
        <f>54680*12</f>
        <v>656160</v>
      </c>
      <c r="J57" s="276"/>
    </row>
    <row r="58" spans="1:10" ht="18" customHeight="1">
      <c r="A58" s="251"/>
      <c r="B58" s="35"/>
      <c r="C58" s="221" t="s">
        <v>47</v>
      </c>
      <c r="D58" s="224">
        <v>7143320</v>
      </c>
      <c r="E58" s="227">
        <f>SUM(I58:I60)</f>
        <v>7809360</v>
      </c>
      <c r="F58" s="227">
        <f t="shared" si="12"/>
        <v>666040</v>
      </c>
      <c r="G58" s="217">
        <f t="shared" si="13"/>
        <v>9.3239558076636628E-2</v>
      </c>
      <c r="H58" s="128" t="s">
        <v>148</v>
      </c>
      <c r="I58" s="129">
        <f>225079*12+2</f>
        <v>2700950</v>
      </c>
      <c r="J58" s="276"/>
    </row>
    <row r="59" spans="1:10" ht="18" customHeight="1">
      <c r="A59" s="251"/>
      <c r="B59" s="35"/>
      <c r="C59" s="222"/>
      <c r="D59" s="225"/>
      <c r="E59" s="228"/>
      <c r="F59" s="228"/>
      <c r="G59" s="218"/>
      <c r="H59" s="128" t="s">
        <v>149</v>
      </c>
      <c r="I59" s="129">
        <f>208632*12-4</f>
        <v>2503580</v>
      </c>
      <c r="J59" s="276"/>
    </row>
    <row r="60" spans="1:10" ht="18" customHeight="1">
      <c r="A60" s="251"/>
      <c r="B60" s="35"/>
      <c r="C60" s="230"/>
      <c r="D60" s="226"/>
      <c r="E60" s="229"/>
      <c r="F60" s="229"/>
      <c r="G60" s="220"/>
      <c r="H60" s="128" t="s">
        <v>150</v>
      </c>
      <c r="I60" s="129">
        <f>217069*12+2</f>
        <v>2604830</v>
      </c>
      <c r="J60" s="276"/>
    </row>
    <row r="61" spans="1:10" ht="18" customHeight="1">
      <c r="A61" s="251"/>
      <c r="B61" s="35"/>
      <c r="C61" s="72" t="s">
        <v>76</v>
      </c>
      <c r="D61" s="92">
        <v>4320000</v>
      </c>
      <c r="E61" s="76">
        <f>I61</f>
        <v>4320000</v>
      </c>
      <c r="F61" s="75">
        <f t="shared" ref="F61" si="14">E61-D61</f>
        <v>0</v>
      </c>
      <c r="G61" s="98">
        <f t="shared" ref="G61" si="15">(E61-D61)/D61</f>
        <v>0</v>
      </c>
      <c r="H61" s="93" t="s">
        <v>74</v>
      </c>
      <c r="I61" s="115">
        <f>120000*3*12</f>
        <v>4320000</v>
      </c>
      <c r="J61" s="276"/>
    </row>
    <row r="62" spans="1:10" ht="18" customHeight="1">
      <c r="A62" s="251"/>
      <c r="B62" s="136"/>
      <c r="C62" s="74" t="s">
        <v>84</v>
      </c>
      <c r="D62" s="92">
        <v>0</v>
      </c>
      <c r="E62" s="76">
        <v>3600000</v>
      </c>
      <c r="F62" s="75">
        <f t="shared" si="12"/>
        <v>3600000</v>
      </c>
      <c r="G62" s="98">
        <v>1</v>
      </c>
      <c r="H62" s="93" t="s">
        <v>85</v>
      </c>
      <c r="I62" s="115">
        <f>100000*3*12</f>
        <v>3600000</v>
      </c>
      <c r="J62" s="276"/>
    </row>
    <row r="63" spans="1:10" ht="18" customHeight="1">
      <c r="A63" s="251"/>
      <c r="B63" s="131" t="s">
        <v>48</v>
      </c>
      <c r="C63" s="68"/>
      <c r="D63" s="137">
        <f>SUM(D64:D75)</f>
        <v>31142670</v>
      </c>
      <c r="E63" s="53">
        <f t="shared" ref="E63:F63" si="16">SUM(E64:E75)</f>
        <v>15924000</v>
      </c>
      <c r="F63" s="138">
        <f t="shared" si="16"/>
        <v>-15218670</v>
      </c>
      <c r="G63" s="109">
        <f>(E63-D63)/D63</f>
        <v>-0.48867582644648</v>
      </c>
      <c r="H63" s="93"/>
      <c r="I63" s="115"/>
      <c r="J63" s="127"/>
    </row>
    <row r="64" spans="1:10" ht="18" customHeight="1">
      <c r="A64" s="251"/>
      <c r="B64" s="253"/>
      <c r="C64" s="72" t="s">
        <v>51</v>
      </c>
      <c r="D64" s="92">
        <v>48000</v>
      </c>
      <c r="E64" s="76">
        <v>360000</v>
      </c>
      <c r="F64" s="75">
        <f t="shared" si="12"/>
        <v>312000</v>
      </c>
      <c r="G64" s="98">
        <f t="shared" si="13"/>
        <v>6.5</v>
      </c>
      <c r="H64" s="93" t="s">
        <v>116</v>
      </c>
      <c r="I64" s="115">
        <f>30000*12</f>
        <v>360000</v>
      </c>
      <c r="J64" s="78"/>
    </row>
    <row r="65" spans="1:10" ht="18" customHeight="1">
      <c r="A65" s="251"/>
      <c r="B65" s="254"/>
      <c r="C65" s="72" t="s">
        <v>2</v>
      </c>
      <c r="D65" s="92">
        <v>2234600</v>
      </c>
      <c r="E65" s="76">
        <f>I65</f>
        <v>1200000</v>
      </c>
      <c r="F65" s="75">
        <f t="shared" si="12"/>
        <v>-1034600</v>
      </c>
      <c r="G65" s="98">
        <f t="shared" si="13"/>
        <v>-0.46299113935379932</v>
      </c>
      <c r="H65" s="93" t="s">
        <v>117</v>
      </c>
      <c r="I65" s="115">
        <v>1200000</v>
      </c>
      <c r="J65" s="78"/>
    </row>
    <row r="66" spans="1:10" ht="18" customHeight="1">
      <c r="A66" s="251"/>
      <c r="B66" s="254"/>
      <c r="C66" s="221" t="s">
        <v>49</v>
      </c>
      <c r="D66" s="224">
        <v>24188570</v>
      </c>
      <c r="E66" s="227">
        <f>SUM(I66:I70)</f>
        <v>9400000</v>
      </c>
      <c r="F66" s="227">
        <f t="shared" si="12"/>
        <v>-14788570</v>
      </c>
      <c r="G66" s="217">
        <f t="shared" si="13"/>
        <v>-0.61138670041263288</v>
      </c>
      <c r="H66" s="116" t="s">
        <v>125</v>
      </c>
      <c r="I66" s="117">
        <v>1000000</v>
      </c>
      <c r="J66" s="276"/>
    </row>
    <row r="67" spans="1:10" ht="18" customHeight="1">
      <c r="A67" s="251"/>
      <c r="B67" s="254"/>
      <c r="C67" s="222"/>
      <c r="D67" s="225"/>
      <c r="E67" s="228"/>
      <c r="F67" s="228"/>
      <c r="G67" s="218"/>
      <c r="H67" s="93" t="s">
        <v>71</v>
      </c>
      <c r="I67" s="115">
        <v>1200000</v>
      </c>
      <c r="J67" s="276"/>
    </row>
    <row r="68" spans="1:10" ht="18" customHeight="1">
      <c r="A68" s="251"/>
      <c r="B68" s="254"/>
      <c r="C68" s="222"/>
      <c r="D68" s="225"/>
      <c r="E68" s="228"/>
      <c r="F68" s="228"/>
      <c r="G68" s="218"/>
      <c r="H68" s="116" t="s">
        <v>126</v>
      </c>
      <c r="I68" s="115">
        <v>1200000</v>
      </c>
      <c r="J68" s="276"/>
    </row>
    <row r="69" spans="1:10" ht="18" customHeight="1">
      <c r="A69" s="251"/>
      <c r="B69" s="254"/>
      <c r="C69" s="222"/>
      <c r="D69" s="225"/>
      <c r="E69" s="228"/>
      <c r="F69" s="228"/>
      <c r="G69" s="218"/>
      <c r="H69" s="116" t="s">
        <v>127</v>
      </c>
      <c r="I69" s="115">
        <v>1000000</v>
      </c>
      <c r="J69" s="276"/>
    </row>
    <row r="70" spans="1:10" ht="18" customHeight="1">
      <c r="A70" s="251"/>
      <c r="B70" s="254"/>
      <c r="C70" s="223"/>
      <c r="D70" s="226"/>
      <c r="E70" s="229"/>
      <c r="F70" s="229"/>
      <c r="G70" s="220"/>
      <c r="H70" s="116" t="s">
        <v>128</v>
      </c>
      <c r="I70" s="115">
        <v>5000000</v>
      </c>
      <c r="J70" s="276"/>
    </row>
    <row r="71" spans="1:10" ht="18" customHeight="1">
      <c r="A71" s="251"/>
      <c r="B71" s="254"/>
      <c r="C71" s="263" t="s">
        <v>50</v>
      </c>
      <c r="D71" s="224">
        <f>6321500-1650000</f>
        <v>4671500</v>
      </c>
      <c r="E71" s="260">
        <f>SUM(I71:I75)</f>
        <v>4964000</v>
      </c>
      <c r="F71" s="227">
        <f t="shared" ref="F71" si="17">E71-D71</f>
        <v>292500</v>
      </c>
      <c r="G71" s="217">
        <f t="shared" ref="G71" si="18">(E71-D71)/D71</f>
        <v>6.2613721502729314E-2</v>
      </c>
      <c r="H71" s="93" t="s">
        <v>129</v>
      </c>
      <c r="I71" s="115">
        <f>170000*12</f>
        <v>2040000</v>
      </c>
      <c r="J71" s="78"/>
    </row>
    <row r="72" spans="1:10" ht="18" customHeight="1">
      <c r="A72" s="251"/>
      <c r="B72" s="254"/>
      <c r="C72" s="233"/>
      <c r="D72" s="225"/>
      <c r="E72" s="261"/>
      <c r="F72" s="228"/>
      <c r="G72" s="218"/>
      <c r="H72" s="93" t="s">
        <v>130</v>
      </c>
      <c r="I72" s="115">
        <f>70000*12</f>
        <v>840000</v>
      </c>
      <c r="J72" s="78"/>
    </row>
    <row r="73" spans="1:10" ht="18" customHeight="1">
      <c r="A73" s="251"/>
      <c r="B73" s="254"/>
      <c r="C73" s="233"/>
      <c r="D73" s="225"/>
      <c r="E73" s="261"/>
      <c r="F73" s="228"/>
      <c r="G73" s="218"/>
      <c r="H73" s="93" t="s">
        <v>75</v>
      </c>
      <c r="I73" s="115">
        <f>7000*12</f>
        <v>84000</v>
      </c>
      <c r="J73" s="39"/>
    </row>
    <row r="74" spans="1:10" ht="18" customHeight="1">
      <c r="A74" s="251"/>
      <c r="B74" s="254"/>
      <c r="C74" s="233"/>
      <c r="D74" s="225"/>
      <c r="E74" s="261"/>
      <c r="F74" s="228"/>
      <c r="G74" s="218"/>
      <c r="H74" s="93" t="s">
        <v>131</v>
      </c>
      <c r="I74" s="115">
        <v>1000000</v>
      </c>
      <c r="J74" s="39"/>
    </row>
    <row r="75" spans="1:10" ht="18" customHeight="1" thickBot="1">
      <c r="A75" s="252"/>
      <c r="B75" s="255"/>
      <c r="C75" s="264"/>
      <c r="D75" s="265"/>
      <c r="E75" s="262"/>
      <c r="F75" s="231"/>
      <c r="G75" s="219"/>
      <c r="H75" s="118" t="s">
        <v>132</v>
      </c>
      <c r="I75" s="119">
        <v>1000000</v>
      </c>
      <c r="J75" s="64"/>
    </row>
    <row r="76" spans="1:10" ht="15" customHeight="1">
      <c r="A76" s="17"/>
      <c r="B76" s="17"/>
      <c r="C76" s="18"/>
      <c r="D76" s="19"/>
      <c r="E76" s="19"/>
      <c r="F76" s="19"/>
      <c r="G76" s="20"/>
      <c r="H76" s="104"/>
      <c r="I76" s="62"/>
      <c r="J76" s="5"/>
    </row>
    <row r="77" spans="1:10">
      <c r="J77" s="5"/>
    </row>
    <row r="78" spans="1:10" ht="16.5" customHeight="1">
      <c r="J78" s="5"/>
    </row>
    <row r="79" spans="1:10">
      <c r="J79" s="5"/>
    </row>
    <row r="80" spans="1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  <row r="85" spans="10:10">
      <c r="J85" s="5"/>
    </row>
    <row r="86" spans="10:10">
      <c r="J86" s="5"/>
    </row>
    <row r="87" spans="10:10">
      <c r="J87" s="5"/>
    </row>
    <row r="88" spans="10:10">
      <c r="J88" s="5"/>
    </row>
    <row r="89" spans="10:10">
      <c r="J89" s="5"/>
    </row>
    <row r="90" spans="10:10">
      <c r="J90" s="5"/>
    </row>
    <row r="91" spans="10:10">
      <c r="J91" s="5"/>
    </row>
    <row r="92" spans="10:10">
      <c r="J92" s="5"/>
    </row>
    <row r="93" spans="10:10">
      <c r="J93" s="5"/>
    </row>
    <row r="94" spans="10:10">
      <c r="J94" s="5"/>
    </row>
    <row r="95" spans="10:10">
      <c r="J95" s="5"/>
    </row>
    <row r="96" spans="10:10" ht="16.5" customHeight="1">
      <c r="J96" s="5"/>
    </row>
    <row r="97" spans="10:10">
      <c r="J97" s="5"/>
    </row>
    <row r="98" spans="10:10">
      <c r="J98" s="5"/>
    </row>
    <row r="99" spans="10:10">
      <c r="J99" s="5"/>
    </row>
    <row r="100" spans="10:10">
      <c r="J100" s="5"/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</sheetData>
  <mergeCells count="69">
    <mergeCell ref="J66:J70"/>
    <mergeCell ref="B25:B37"/>
    <mergeCell ref="A7:A37"/>
    <mergeCell ref="F8:F12"/>
    <mergeCell ref="A6:C6"/>
    <mergeCell ref="D13:D15"/>
    <mergeCell ref="E13:E15"/>
    <mergeCell ref="G53:G57"/>
    <mergeCell ref="G41:G46"/>
    <mergeCell ref="G47:G52"/>
    <mergeCell ref="G8:G12"/>
    <mergeCell ref="J41:J62"/>
    <mergeCell ref="F47:F52"/>
    <mergeCell ref="F41:F46"/>
    <mergeCell ref="F53:F57"/>
    <mergeCell ref="F13:F15"/>
    <mergeCell ref="A1:J1"/>
    <mergeCell ref="A2:J2"/>
    <mergeCell ref="A3:J3"/>
    <mergeCell ref="A4:A5"/>
    <mergeCell ref="B4:B5"/>
    <mergeCell ref="C4:C5"/>
    <mergeCell ref="D4:D5"/>
    <mergeCell ref="E4:E5"/>
    <mergeCell ref="F4:G4"/>
    <mergeCell ref="H4:I5"/>
    <mergeCell ref="J4:J5"/>
    <mergeCell ref="A40:A75"/>
    <mergeCell ref="B64:B75"/>
    <mergeCell ref="C53:C57"/>
    <mergeCell ref="D53:D57"/>
    <mergeCell ref="E53:E57"/>
    <mergeCell ref="C47:C52"/>
    <mergeCell ref="D47:D52"/>
    <mergeCell ref="E47:E52"/>
    <mergeCell ref="E71:E75"/>
    <mergeCell ref="C71:C75"/>
    <mergeCell ref="D71:D75"/>
    <mergeCell ref="C41:C46"/>
    <mergeCell ref="D41:D46"/>
    <mergeCell ref="E41:E46"/>
    <mergeCell ref="G13:G15"/>
    <mergeCell ref="B8:B23"/>
    <mergeCell ref="C8:C12"/>
    <mergeCell ref="C13:C15"/>
    <mergeCell ref="D8:D12"/>
    <mergeCell ref="E8:E12"/>
    <mergeCell ref="C17:C20"/>
    <mergeCell ref="D17:D20"/>
    <mergeCell ref="E17:E20"/>
    <mergeCell ref="F17:F20"/>
    <mergeCell ref="G17:G20"/>
    <mergeCell ref="C28:C30"/>
    <mergeCell ref="D28:D30"/>
    <mergeCell ref="E28:E30"/>
    <mergeCell ref="F28:F30"/>
    <mergeCell ref="G28:G30"/>
    <mergeCell ref="G71:G75"/>
    <mergeCell ref="G58:G60"/>
    <mergeCell ref="C66:C70"/>
    <mergeCell ref="D66:D70"/>
    <mergeCell ref="E66:E70"/>
    <mergeCell ref="F66:F70"/>
    <mergeCell ref="G66:G70"/>
    <mergeCell ref="C58:C60"/>
    <mergeCell ref="D58:D60"/>
    <mergeCell ref="E58:E60"/>
    <mergeCell ref="F58:F60"/>
    <mergeCell ref="F71:F75"/>
  </mergeCells>
  <phoneticPr fontId="8" type="noConversion"/>
  <printOptions horizontalCentered="1"/>
  <pageMargins left="0.70866141732283472" right="0.51181102362204722" top="0.74803149606299213" bottom="0.55118110236220474" header="0.31496062992125984" footer="0.31496062992125984"/>
  <pageSetup paperSize="9" scale="66" orientation="landscape" horizontalDpi="300" verticalDpi="300" r:id="rId1"/>
  <rowBreaks count="1" manualBreakCount="1">
    <brk id="3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세입세출총괄표</vt:lpstr>
      <vt:lpstr>세입명세서</vt:lpstr>
      <vt:lpstr>세출명세서</vt:lpstr>
      <vt:lpstr>세입세출총괄표!Print_Area</vt:lpstr>
      <vt:lpstr>세출명세서!Print_Area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2021-12-10T03:01:31Z</cp:lastPrinted>
  <dcterms:created xsi:type="dcterms:W3CDTF">2004-12-10T02:55:32Z</dcterms:created>
  <dcterms:modified xsi:type="dcterms:W3CDTF">2022-01-12T04:15:57Z</dcterms:modified>
</cp:coreProperties>
</file>