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\Desktop\2020년 운영지원\예산서\2021년 본예산\"/>
    </mc:Choice>
  </mc:AlternateContent>
  <bookViews>
    <workbookView xWindow="0" yWindow="0" windowWidth="28800" windowHeight="12210" tabRatio="886" firstSheet="3" activeTab="3"/>
  </bookViews>
  <sheets>
    <sheet name="C2고령자취업센터" sheetId="1" state="hidden" r:id="rId1"/>
    <sheet name="표지" sheetId="29" state="hidden" r:id="rId2"/>
    <sheet name="예산총칙(약식)" sheetId="26" state="hidden" r:id="rId3"/>
    <sheet name="세입세출총괄" sheetId="3" r:id="rId4"/>
    <sheet name="2021년 세입예산서" sheetId="7" state="hidden" r:id="rId5"/>
    <sheet name="2021년 세출예산서" sheetId="27" state="hidden" r:id="rId6"/>
  </sheets>
  <definedNames>
    <definedName name="_xlnm.Print_Area" localSheetId="4">'2021년 세입예산서'!$A$1:$O$33</definedName>
    <definedName name="_xlnm.Print_Area" localSheetId="5">'2021년 세출예산서'!$A$1:$Q$248</definedName>
    <definedName name="_xlnm.Print_Area" localSheetId="3">세입세출총괄!$A$1:$O$74</definedName>
    <definedName name="_xlnm.Print_Area" localSheetId="2">'예산총칙(약식)'!$A$1:$E$19</definedName>
    <definedName name="_xlnm.Print_Titles" localSheetId="4">'2021년 세입예산서'!$1:$4</definedName>
    <definedName name="_xlnm.Print_Titles" localSheetId="5">'2021년 세출예산서'!$1:$4</definedName>
    <definedName name="_xlnm.Print_Titles" localSheetId="3">세입세출총괄!$1:$5</definedName>
    <definedName name="Z_39574142_277E_4296_AA2F_EE5B7F5EB8C6_.wvu.PrintTitles" localSheetId="5" hidden="1">'2021년 세출예산서'!$3:$4</definedName>
    <definedName name="Z_AECBB1FD_440B_44B5_88B4_35517DBA2BD4_.wvu.PrintTitles" localSheetId="5" hidden="1">'2021년 세출예산서'!$3:$4</definedName>
  </definedNames>
  <calcPr calcId="152511"/>
  <customWorkbookViews>
    <customWorkbookView name="육지현 - 사용자 보기" guid="{39574142-277E-4296-AA2F-EE5B7F5EB8C6}" mergeInterval="0" personalView="1" maximized="1" xWindow="1" yWindow="1" windowWidth="1276" windowHeight="769" tabRatio="886" activeSheetId="6"/>
    <customWorkbookView name="파주시노인복지회관 - 기본 보기" guid="{44C29E1A-F762-476F-BEBE-19F6015011EF}" mergeInterval="0" personalView="1" maximized="1" windowWidth="1012" windowHeight="611" tabRatio="824" activeSheetId="15"/>
    <customWorkbookView name="총무과장 - 사용자 보기" guid="{AECBB1FD-440B-44B5-88B4-35517DBA2BD4}" mergeInterval="0" personalView="1" maximized="1" xWindow="1" yWindow="1" windowWidth="1276" windowHeight="769" tabRatio="886" activeSheetId="6"/>
  </customWorkbookViews>
</workbook>
</file>

<file path=xl/calcChain.xml><?xml version="1.0" encoding="utf-8"?>
<calcChain xmlns="http://schemas.openxmlformats.org/spreadsheetml/2006/main">
  <c r="O56" i="3" l="1"/>
  <c r="O58" i="3"/>
  <c r="D14" i="7" l="1"/>
  <c r="D153" i="27"/>
  <c r="D118" i="27"/>
  <c r="D116" i="27"/>
  <c r="E149" i="27" l="1"/>
  <c r="E146" i="27"/>
  <c r="M40" i="3"/>
  <c r="M38" i="3"/>
  <c r="L39" i="3"/>
  <c r="N40" i="3"/>
  <c r="O40" i="3" s="1"/>
  <c r="L37" i="3"/>
  <c r="M37" i="3"/>
  <c r="N37" i="3" s="1"/>
  <c r="O37" i="3" s="1"/>
  <c r="Q147" i="27"/>
  <c r="Q150" i="27"/>
  <c r="E150" i="27"/>
  <c r="F150" i="27" s="1"/>
  <c r="G150" i="27" s="1"/>
  <c r="Q151" i="27"/>
  <c r="D149" i="27"/>
  <c r="E147" i="27"/>
  <c r="F147" i="27" s="1"/>
  <c r="G147" i="27" s="1"/>
  <c r="Q148" i="27"/>
  <c r="D146" i="27"/>
  <c r="N38" i="3" l="1"/>
  <c r="O38" i="3" s="1"/>
  <c r="M39" i="3"/>
  <c r="N39" i="3" s="1"/>
  <c r="O39" i="3" s="1"/>
  <c r="F149" i="27"/>
  <c r="G149" i="27" s="1"/>
  <c r="F146" i="27"/>
  <c r="G146" i="27" s="1"/>
  <c r="M58" i="3"/>
  <c r="M56" i="3"/>
  <c r="M55" i="3"/>
  <c r="M52" i="3"/>
  <c r="L11" i="3" l="1"/>
  <c r="D100" i="27" l="1"/>
  <c r="L20" i="3" s="1"/>
  <c r="D95" i="27"/>
  <c r="L19" i="3" s="1"/>
  <c r="D88" i="27"/>
  <c r="L15" i="3" s="1"/>
  <c r="D42" i="27"/>
  <c r="L10" i="3" s="1"/>
  <c r="D214" i="27"/>
  <c r="L65" i="3" s="1"/>
  <c r="L64" i="3" s="1"/>
  <c r="Q241" i="27"/>
  <c r="Q242" i="27"/>
  <c r="Q238" i="27"/>
  <c r="Q239" i="27"/>
  <c r="Q236" i="27"/>
  <c r="E236" i="27" s="1"/>
  <c r="Q237" i="27"/>
  <c r="Q234" i="27"/>
  <c r="Q232" i="27"/>
  <c r="Q233" i="27"/>
  <c r="Q235" i="27"/>
  <c r="Q231" i="27"/>
  <c r="Q228" i="27"/>
  <c r="Q225" i="27"/>
  <c r="Q226" i="27"/>
  <c r="Q227" i="27"/>
  <c r="Q229" i="27"/>
  <c r="Q224" i="27"/>
  <c r="Q220" i="27"/>
  <c r="Q223" i="27"/>
  <c r="E223" i="27" s="1"/>
  <c r="Q222" i="27"/>
  <c r="Q221" i="27"/>
  <c r="Q219" i="27" s="1"/>
  <c r="E219" i="27" s="1"/>
  <c r="Q217" i="27"/>
  <c r="Q218" i="27"/>
  <c r="Q216" i="27"/>
  <c r="F219" i="27" l="1"/>
  <c r="G219" i="27" s="1"/>
  <c r="M66" i="3"/>
  <c r="N66" i="3" s="1"/>
  <c r="O66" i="3" s="1"/>
  <c r="F223" i="27"/>
  <c r="G223" i="27" s="1"/>
  <c r="M67" i="3"/>
  <c r="N67" i="3" s="1"/>
  <c r="O67" i="3" s="1"/>
  <c r="F236" i="27"/>
  <c r="G236" i="27" s="1"/>
  <c r="M69" i="3"/>
  <c r="N69" i="3" s="1"/>
  <c r="O69" i="3" s="1"/>
  <c r="Q240" i="27"/>
  <c r="E240" i="27" s="1"/>
  <c r="Q230" i="27"/>
  <c r="E230" i="27" s="1"/>
  <c r="F240" i="27" l="1"/>
  <c r="G240" i="27" s="1"/>
  <c r="M70" i="3"/>
  <c r="N70" i="3" s="1"/>
  <c r="O70" i="3" s="1"/>
  <c r="F230" i="27"/>
  <c r="G230" i="27" s="1"/>
  <c r="M68" i="3"/>
  <c r="N68" i="3" s="1"/>
  <c r="O68" i="3" s="1"/>
  <c r="Q215" i="27"/>
  <c r="E215" i="27" s="1"/>
  <c r="M65" i="3" l="1"/>
  <c r="M64" i="3" s="1"/>
  <c r="E214" i="27"/>
  <c r="F215" i="27"/>
  <c r="G215" i="27" s="1"/>
  <c r="F214" i="27"/>
  <c r="G214" i="27" s="1"/>
  <c r="N64" i="3" l="1"/>
  <c r="O64" i="3" s="1"/>
  <c r="N65" i="3"/>
  <c r="O65" i="3" s="1"/>
  <c r="Q210" i="27"/>
  <c r="Q168" i="27"/>
  <c r="Q167" i="27"/>
  <c r="Q173" i="27"/>
  <c r="Q154" i="27" l="1"/>
  <c r="Q155" i="27"/>
  <c r="Q189" i="27"/>
  <c r="Q188" i="27" s="1"/>
  <c r="E188" i="27" s="1"/>
  <c r="Q180" i="27"/>
  <c r="Q179" i="27" s="1"/>
  <c r="E179" i="27" s="1"/>
  <c r="F179" i="27" l="1"/>
  <c r="G179" i="27" s="1"/>
  <c r="F188" i="27"/>
  <c r="G188" i="27" s="1"/>
  <c r="Q136" i="27" l="1"/>
  <c r="Q75" i="27" l="1"/>
  <c r="Q66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44" i="27"/>
  <c r="Q37" i="27"/>
  <c r="Q38" i="27"/>
  <c r="Q39" i="27"/>
  <c r="Q40" i="27"/>
  <c r="Q41" i="27"/>
  <c r="Q36" i="27" l="1"/>
  <c r="Q27" i="27"/>
  <c r="Q28" i="27"/>
  <c r="Q29" i="27"/>
  <c r="Q30" i="27"/>
  <c r="Q31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32" i="27"/>
  <c r="Q33" i="27"/>
  <c r="Q34" i="27"/>
  <c r="Q35" i="27"/>
  <c r="Q9" i="27"/>
  <c r="Q8" i="27" l="1"/>
  <c r="D8" i="27" l="1"/>
  <c r="L9" i="3" s="1"/>
  <c r="D85" i="27"/>
  <c r="L13" i="3" s="1"/>
  <c r="D78" i="27"/>
  <c r="L12" i="3" s="1"/>
  <c r="L8" i="3" l="1"/>
  <c r="D247" i="27"/>
  <c r="D212" i="27"/>
  <c r="D211" i="27" s="1"/>
  <c r="D200" i="27"/>
  <c r="D197" i="27"/>
  <c r="D196" i="27" s="1"/>
  <c r="D194" i="27"/>
  <c r="D192" i="27"/>
  <c r="D190" i="27"/>
  <c r="D186" i="27"/>
  <c r="D181" i="27"/>
  <c r="D177" i="27"/>
  <c r="D175" i="27"/>
  <c r="D172" i="27"/>
  <c r="D169" i="27"/>
  <c r="D165" i="27"/>
  <c r="D162" i="27"/>
  <c r="D156" i="27"/>
  <c r="D152" i="27" s="1"/>
  <c r="D121" i="27" s="1"/>
  <c r="D144" i="27"/>
  <c r="D142" i="27"/>
  <c r="D140" i="27"/>
  <c r="D137" i="27"/>
  <c r="D131" i="27"/>
  <c r="D127" i="27"/>
  <c r="D123" i="27"/>
  <c r="D110" i="27"/>
  <c r="L23" i="3" s="1"/>
  <c r="D107" i="27"/>
  <c r="L22" i="3" s="1"/>
  <c r="D103" i="27"/>
  <c r="L21" i="3" s="1"/>
  <c r="D93" i="27"/>
  <c r="L18" i="3" s="1"/>
  <c r="D90" i="27"/>
  <c r="D76" i="27"/>
  <c r="L17" i="3" l="1"/>
  <c r="D87" i="27"/>
  <c r="L16" i="3"/>
  <c r="L14" i="3" s="1"/>
  <c r="L7" i="3" s="1"/>
  <c r="D122" i="27"/>
  <c r="D161" i="27"/>
  <c r="D174" i="27"/>
  <c r="D7" i="27"/>
  <c r="D92" i="27"/>
  <c r="D31" i="7"/>
  <c r="D21" i="7"/>
  <c r="D8" i="7"/>
  <c r="L63" i="3" l="1"/>
  <c r="L62" i="3" s="1"/>
  <c r="L61" i="3"/>
  <c r="L60" i="3"/>
  <c r="L58" i="3"/>
  <c r="L57" i="3"/>
  <c r="L56" i="3"/>
  <c r="L54" i="3"/>
  <c r="L53" i="3"/>
  <c r="L51" i="3"/>
  <c r="L50" i="3"/>
  <c r="L48" i="3"/>
  <c r="L47" i="3"/>
  <c r="L45" i="3"/>
  <c r="L46" i="3"/>
  <c r="L43" i="3"/>
  <c r="L42" i="3"/>
  <c r="L36" i="3"/>
  <c r="L35" i="3"/>
  <c r="L34" i="3"/>
  <c r="L33" i="3"/>
  <c r="L32" i="3"/>
  <c r="L31" i="3"/>
  <c r="L30" i="3"/>
  <c r="L29" i="3" s="1"/>
  <c r="L27" i="3"/>
  <c r="L26" i="3"/>
  <c r="Q119" i="27"/>
  <c r="Q198" i="27"/>
  <c r="Q209" i="27"/>
  <c r="Q206" i="27"/>
  <c r="Q207" i="27"/>
  <c r="Q205" i="27"/>
  <c r="Q202" i="27"/>
  <c r="Q203" i="27"/>
  <c r="Q201" i="27"/>
  <c r="Q199" i="27"/>
  <c r="L41" i="3" l="1"/>
  <c r="Q200" i="27"/>
  <c r="L59" i="3"/>
  <c r="L44" i="3"/>
  <c r="L25" i="3"/>
  <c r="L24" i="3" s="1"/>
  <c r="B15" i="26" s="1"/>
  <c r="E200" i="27"/>
  <c r="F200" i="27" l="1"/>
  <c r="G200" i="27" s="1"/>
  <c r="M61" i="3"/>
  <c r="N61" i="3" s="1"/>
  <c r="O61" i="3" s="1"/>
  <c r="D115" i="27" l="1"/>
  <c r="D114" i="27" s="1"/>
  <c r="Q120" i="27"/>
  <c r="Q117" i="27"/>
  <c r="Q116" i="27" s="1"/>
  <c r="Q118" i="27" l="1"/>
  <c r="E118" i="27" s="1"/>
  <c r="M27" i="3" s="1"/>
  <c r="N27" i="3" s="1"/>
  <c r="O27" i="3" s="1"/>
  <c r="E116" i="27"/>
  <c r="M26" i="3" s="1"/>
  <c r="D6" i="27"/>
  <c r="Q91" i="27"/>
  <c r="Q90" i="27" s="1"/>
  <c r="E90" i="27" s="1"/>
  <c r="M16" i="3" s="1"/>
  <c r="Q89" i="27"/>
  <c r="Q88" i="27" s="1"/>
  <c r="Q113" i="27"/>
  <c r="Q112" i="27"/>
  <c r="F118" i="27" l="1"/>
  <c r="G118" i="27" s="1"/>
  <c r="M25" i="3"/>
  <c r="N26" i="3"/>
  <c r="O26" i="3" s="1"/>
  <c r="E115" i="27"/>
  <c r="E114" i="27" s="1"/>
  <c r="F116" i="27"/>
  <c r="G116" i="27" s="1"/>
  <c r="F90" i="27"/>
  <c r="G90" i="27" s="1"/>
  <c r="E88" i="27"/>
  <c r="M15" i="3" l="1"/>
  <c r="M14" i="3" s="1"/>
  <c r="N14" i="3" s="1"/>
  <c r="O14" i="3" s="1"/>
  <c r="E87" i="27"/>
  <c r="F88" i="27"/>
  <c r="G88" i="27" s="1"/>
  <c r="M24" i="3"/>
  <c r="N25" i="3"/>
  <c r="O25" i="3" s="1"/>
  <c r="Q105" i="27"/>
  <c r="Q104" i="27"/>
  <c r="Q97" i="27"/>
  <c r="Q98" i="27"/>
  <c r="C15" i="26" l="1"/>
  <c r="D15" i="26" s="1"/>
  <c r="N24" i="3"/>
  <c r="O24" i="3" s="1"/>
  <c r="Q248" i="27"/>
  <c r="Q247" i="27" s="1"/>
  <c r="Q213" i="27"/>
  <c r="Q197" i="27"/>
  <c r="Q195" i="27" l="1"/>
  <c r="Q194" i="27" s="1"/>
  <c r="E194" i="27" s="1"/>
  <c r="E197" i="27"/>
  <c r="Q191" i="27"/>
  <c r="Q187" i="27"/>
  <c r="Q186" i="27" s="1"/>
  <c r="E186" i="27" s="1"/>
  <c r="M54" i="3" s="1"/>
  <c r="Q190" i="27"/>
  <c r="E190" i="27" s="1"/>
  <c r="Q182" i="27"/>
  <c r="Q183" i="27"/>
  <c r="Q184" i="27"/>
  <c r="Q185" i="27"/>
  <c r="Q170" i="27"/>
  <c r="E196" i="27" l="1"/>
  <c r="F196" i="27" s="1"/>
  <c r="G196" i="27" s="1"/>
  <c r="F186" i="27"/>
  <c r="G186" i="27" s="1"/>
  <c r="N54" i="3"/>
  <c r="O54" i="3" s="1"/>
  <c r="F197" i="27"/>
  <c r="G197" i="27" s="1"/>
  <c r="M60" i="3"/>
  <c r="F190" i="27"/>
  <c r="G190" i="27" s="1"/>
  <c r="N56" i="3"/>
  <c r="F194" i="27"/>
  <c r="G194" i="27" s="1"/>
  <c r="N58" i="3"/>
  <c r="Q181" i="27"/>
  <c r="E181" i="27" s="1"/>
  <c r="M53" i="3" s="1"/>
  <c r="Q164" i="27"/>
  <c r="Q166" i="27"/>
  <c r="Q171" i="27"/>
  <c r="Q172" i="27"/>
  <c r="E172" i="27" s="1"/>
  <c r="Q176" i="27"/>
  <c r="Q175" i="27" s="1"/>
  <c r="Q178" i="27"/>
  <c r="Q177" i="27" s="1"/>
  <c r="E177" i="27" s="1"/>
  <c r="M51" i="3" s="1"/>
  <c r="Q193" i="27"/>
  <c r="Q192" i="27" s="1"/>
  <c r="Q163" i="27"/>
  <c r="Q165" i="27" l="1"/>
  <c r="E165" i="27" s="1"/>
  <c r="E192" i="27"/>
  <c r="F177" i="27"/>
  <c r="G177" i="27" s="1"/>
  <c r="N51" i="3"/>
  <c r="O51" i="3" s="1"/>
  <c r="F192" i="27"/>
  <c r="G192" i="27" s="1"/>
  <c r="M59" i="3"/>
  <c r="N59" i="3" s="1"/>
  <c r="O59" i="3" s="1"/>
  <c r="N60" i="3"/>
  <c r="O60" i="3" s="1"/>
  <c r="F172" i="27"/>
  <c r="G172" i="27" s="1"/>
  <c r="M48" i="3"/>
  <c r="N48" i="3" s="1"/>
  <c r="O48" i="3" s="1"/>
  <c r="F181" i="27"/>
  <c r="G181" i="27" s="1"/>
  <c r="N53" i="3"/>
  <c r="O53" i="3" s="1"/>
  <c r="E175" i="27"/>
  <c r="M50" i="3" s="1"/>
  <c r="Q162" i="27"/>
  <c r="Q169" i="27"/>
  <c r="E169" i="27" s="1"/>
  <c r="Q128" i="27"/>
  <c r="M57" i="3" l="1"/>
  <c r="N57" i="3" s="1"/>
  <c r="O57" i="3" s="1"/>
  <c r="E174" i="27"/>
  <c r="F174" i="27" s="1"/>
  <c r="G174" i="27" s="1"/>
  <c r="E162" i="27"/>
  <c r="E161" i="27" s="1"/>
  <c r="M46" i="3"/>
  <c r="N46" i="3" s="1"/>
  <c r="O46" i="3" s="1"/>
  <c r="F165" i="27"/>
  <c r="G165" i="27" s="1"/>
  <c r="F162" i="27"/>
  <c r="G162" i="27" s="1"/>
  <c r="F169" i="27"/>
  <c r="G169" i="27" s="1"/>
  <c r="M47" i="3"/>
  <c r="N47" i="3" s="1"/>
  <c r="O47" i="3" s="1"/>
  <c r="F175" i="27"/>
  <c r="G175" i="27" s="1"/>
  <c r="Q126" i="27"/>
  <c r="Q129" i="27"/>
  <c r="Q130" i="27"/>
  <c r="Q132" i="27"/>
  <c r="Q133" i="27"/>
  <c r="Q134" i="27"/>
  <c r="Q135" i="27"/>
  <c r="Q138" i="27"/>
  <c r="Q139" i="27"/>
  <c r="Q141" i="27"/>
  <c r="Q140" i="27" s="1"/>
  <c r="E140" i="27" s="1"/>
  <c r="Q143" i="27"/>
  <c r="Q142" i="27" s="1"/>
  <c r="E142" i="27" s="1"/>
  <c r="Q145" i="27"/>
  <c r="Q157" i="27"/>
  <c r="Q158" i="27"/>
  <c r="Q159" i="27"/>
  <c r="Q160" i="27"/>
  <c r="Q212" i="27"/>
  <c r="Q125" i="27"/>
  <c r="Q124" i="27"/>
  <c r="Q99" i="27"/>
  <c r="Q94" i="27"/>
  <c r="M45" i="3" l="1"/>
  <c r="F161" i="27"/>
  <c r="G161" i="27" s="1"/>
  <c r="E212" i="27"/>
  <c r="E211" i="27" s="1"/>
  <c r="Q131" i="27"/>
  <c r="E131" i="27" s="1"/>
  <c r="Q144" i="27"/>
  <c r="E144" i="27" s="1"/>
  <c r="F140" i="27"/>
  <c r="G140" i="27" s="1"/>
  <c r="M34" i="3"/>
  <c r="N34" i="3" s="1"/>
  <c r="O34" i="3" s="1"/>
  <c r="M44" i="3"/>
  <c r="F142" i="27"/>
  <c r="G142" i="27" s="1"/>
  <c r="M35" i="3"/>
  <c r="N35" i="3" s="1"/>
  <c r="O35" i="3" s="1"/>
  <c r="Q123" i="27"/>
  <c r="Q156" i="27"/>
  <c r="Q153" i="27"/>
  <c r="Q137" i="27"/>
  <c r="E137" i="27" s="1"/>
  <c r="Q127" i="27"/>
  <c r="E127" i="27" s="1"/>
  <c r="Q72" i="27"/>
  <c r="Q74" i="27"/>
  <c r="M63" i="3" l="1"/>
  <c r="F211" i="27"/>
  <c r="G211" i="27" s="1"/>
  <c r="F212" i="27"/>
  <c r="G212" i="27" s="1"/>
  <c r="E156" i="27"/>
  <c r="F144" i="27"/>
  <c r="G144" i="27" s="1"/>
  <c r="M36" i="3"/>
  <c r="N36" i="3" s="1"/>
  <c r="O36" i="3" s="1"/>
  <c r="F131" i="27"/>
  <c r="G131" i="27" s="1"/>
  <c r="M32" i="3"/>
  <c r="N32" i="3" s="1"/>
  <c r="O32" i="3" s="1"/>
  <c r="F127" i="27"/>
  <c r="G127" i="27" s="1"/>
  <c r="M31" i="3"/>
  <c r="N31" i="3" s="1"/>
  <c r="O31" i="3" s="1"/>
  <c r="F137" i="27"/>
  <c r="G137" i="27" s="1"/>
  <c r="M33" i="3"/>
  <c r="N33" i="3" s="1"/>
  <c r="O33" i="3" s="1"/>
  <c r="F156" i="27"/>
  <c r="G156" i="27" s="1"/>
  <c r="N63" i="3"/>
  <c r="O63" i="3" s="1"/>
  <c r="M62" i="3"/>
  <c r="N62" i="3" s="1"/>
  <c r="O62" i="3" s="1"/>
  <c r="E153" i="27"/>
  <c r="M43" i="3" l="1"/>
  <c r="N43" i="3" s="1"/>
  <c r="O43" i="3" s="1"/>
  <c r="E152" i="27"/>
  <c r="F152" i="27" s="1"/>
  <c r="G152" i="27" s="1"/>
  <c r="F153" i="27"/>
  <c r="G153" i="27" s="1"/>
  <c r="M42" i="3"/>
  <c r="Q73" i="27"/>
  <c r="M41" i="3" l="1"/>
  <c r="Q65" i="27"/>
  <c r="Q63" i="27"/>
  <c r="Q70" i="27"/>
  <c r="Q64" i="27"/>
  <c r="Q67" i="27"/>
  <c r="Q68" i="27"/>
  <c r="Q69" i="27"/>
  <c r="Q71" i="27"/>
  <c r="D25" i="7" l="1"/>
  <c r="O16" i="7"/>
  <c r="O17" i="7"/>
  <c r="O18" i="7"/>
  <c r="O9" i="7"/>
  <c r="O10" i="7"/>
  <c r="O11" i="7"/>
  <c r="O8" i="7" l="1"/>
  <c r="D244" i="27" l="1"/>
  <c r="L49" i="3" l="1"/>
  <c r="L28" i="3" s="1"/>
  <c r="O26" i="7"/>
  <c r="M49" i="3" l="1"/>
  <c r="L74" i="3"/>
  <c r="B16" i="26" l="1"/>
  <c r="N44" i="3"/>
  <c r="O44" i="3" s="1"/>
  <c r="N49" i="3"/>
  <c r="O49" i="3" s="1"/>
  <c r="N45" i="3"/>
  <c r="O45" i="3" s="1"/>
  <c r="N50" i="3"/>
  <c r="O50" i="3" s="1"/>
  <c r="E123" i="27" l="1"/>
  <c r="M30" i="3" l="1"/>
  <c r="M29" i="3" s="1"/>
  <c r="M28" i="3" s="1"/>
  <c r="O32" i="7"/>
  <c r="O15" i="7" l="1"/>
  <c r="O14" i="7" s="1"/>
  <c r="D21" i="3" l="1"/>
  <c r="D18" i="3"/>
  <c r="D15" i="3"/>
  <c r="D12" i="3"/>
  <c r="D9" i="3"/>
  <c r="B6" i="26" s="1"/>
  <c r="Q86" i="27" l="1"/>
  <c r="Q85" i="27" l="1"/>
  <c r="E85" i="27" s="1"/>
  <c r="Q102" i="27"/>
  <c r="F85" i="27" l="1"/>
  <c r="G85" i="27" s="1"/>
  <c r="M13" i="3"/>
  <c r="N13" i="3" s="1"/>
  <c r="O13" i="3" s="1"/>
  <c r="Q111" i="27"/>
  <c r="O28" i="7" l="1"/>
  <c r="Q62" i="27" l="1"/>
  <c r="Q42" i="27" s="1"/>
  <c r="Q106" i="27" l="1"/>
  <c r="Q103" i="27" l="1"/>
  <c r="E103" i="27" s="1"/>
  <c r="M21" i="3" s="1"/>
  <c r="Q108" i="27"/>
  <c r="O22" i="7" l="1"/>
  <c r="O21" i="7" s="1"/>
  <c r="D14" i="3" l="1"/>
  <c r="D13" i="3" s="1"/>
  <c r="B8" i="26" s="1"/>
  <c r="D20" i="7" l="1"/>
  <c r="D19" i="7" s="1"/>
  <c r="F103" i="27" l="1"/>
  <c r="G103" i="27" s="1"/>
  <c r="Q246" i="27" l="1"/>
  <c r="Q109" i="27"/>
  <c r="Q96" i="27"/>
  <c r="Q101" i="27"/>
  <c r="Q93" i="27"/>
  <c r="E93" i="27" s="1"/>
  <c r="M18" i="3" s="1"/>
  <c r="Q110" i="27"/>
  <c r="B14" i="26" l="1"/>
  <c r="E8" i="27"/>
  <c r="M9" i="3" s="1"/>
  <c r="E110" i="27"/>
  <c r="Q245" i="27"/>
  <c r="E245" i="27" s="1"/>
  <c r="L73" i="3"/>
  <c r="L72" i="3" s="1"/>
  <c r="L71" i="3" s="1"/>
  <c r="L6" i="3" s="1"/>
  <c r="E247" i="27"/>
  <c r="M74" i="3" s="1"/>
  <c r="Q95" i="27"/>
  <c r="Q107" i="27"/>
  <c r="E107" i="27" s="1"/>
  <c r="M22" i="3" s="1"/>
  <c r="Q100" i="27"/>
  <c r="E100" i="27" s="1"/>
  <c r="M20" i="3" s="1"/>
  <c r="M73" i="3"/>
  <c r="O27" i="7"/>
  <c r="E95" i="27" l="1"/>
  <c r="M19" i="3" s="1"/>
  <c r="N19" i="3" s="1"/>
  <c r="O19" i="3" s="1"/>
  <c r="M23" i="3"/>
  <c r="N23" i="3" s="1"/>
  <c r="O23" i="3" s="1"/>
  <c r="E92" i="27"/>
  <c r="F93" i="27"/>
  <c r="G93" i="27" s="1"/>
  <c r="O25" i="7"/>
  <c r="E25" i="7" s="1"/>
  <c r="F247" i="27"/>
  <c r="G247" i="27" s="1"/>
  <c r="D243" i="27"/>
  <c r="D5" i="27" s="1"/>
  <c r="E21" i="7"/>
  <c r="E20" i="7" s="1"/>
  <c r="E8" i="7"/>
  <c r="F245" i="27"/>
  <c r="E244" i="27"/>
  <c r="M17" i="3" l="1"/>
  <c r="N17" i="3" s="1"/>
  <c r="O17" i="3" s="1"/>
  <c r="F92" i="27"/>
  <c r="G92" i="27" s="1"/>
  <c r="F87" i="27"/>
  <c r="G87" i="27" s="1"/>
  <c r="N15" i="3"/>
  <c r="O15" i="3" s="1"/>
  <c r="F95" i="27"/>
  <c r="G95" i="27" s="1"/>
  <c r="F110" i="27"/>
  <c r="G110" i="27" s="1"/>
  <c r="F107" i="27"/>
  <c r="G107" i="27" s="1"/>
  <c r="N74" i="3"/>
  <c r="O74" i="3" s="1"/>
  <c r="F100" i="27"/>
  <c r="G100" i="27" s="1"/>
  <c r="F244" i="27"/>
  <c r="N9" i="3"/>
  <c r="F8" i="27"/>
  <c r="G8" i="27" s="1"/>
  <c r="E243" i="27"/>
  <c r="F243" i="27" s="1"/>
  <c r="N22" i="3" l="1"/>
  <c r="O22" i="3" s="1"/>
  <c r="N16" i="3"/>
  <c r="O16" i="3" s="1"/>
  <c r="N21" i="3"/>
  <c r="O21" i="3" s="1"/>
  <c r="N18" i="3"/>
  <c r="O18" i="3" s="1"/>
  <c r="N20" i="3"/>
  <c r="O20" i="3" s="1"/>
  <c r="F123" i="27"/>
  <c r="G123" i="27" s="1"/>
  <c r="N42" i="3" l="1"/>
  <c r="O42" i="3" s="1"/>
  <c r="N30" i="3"/>
  <c r="O33" i="7"/>
  <c r="O31" i="7" s="1"/>
  <c r="D8" i="3"/>
  <c r="D7" i="3" s="1"/>
  <c r="F114" i="27" l="1"/>
  <c r="G114" i="27" s="1"/>
  <c r="F115" i="27"/>
  <c r="G115" i="27" s="1"/>
  <c r="C16" i="26"/>
  <c r="D11" i="3"/>
  <c r="D13" i="7"/>
  <c r="D12" i="7" s="1"/>
  <c r="D17" i="3"/>
  <c r="D16" i="3" s="1"/>
  <c r="B9" i="26" s="1"/>
  <c r="D23" i="7"/>
  <c r="D24" i="7"/>
  <c r="E9" i="3"/>
  <c r="C6" i="26" s="1"/>
  <c r="E14" i="7"/>
  <c r="E13" i="7" s="1"/>
  <c r="F25" i="7"/>
  <c r="N28" i="3" l="1"/>
  <c r="O28" i="3" s="1"/>
  <c r="F24" i="7"/>
  <c r="G25" i="7"/>
  <c r="F9" i="3"/>
  <c r="G9" i="3" s="1"/>
  <c r="E31" i="7"/>
  <c r="E21" i="3" s="1"/>
  <c r="E20" i="3" s="1"/>
  <c r="E19" i="3" s="1"/>
  <c r="C10" i="26" s="1"/>
  <c r="D10" i="3"/>
  <c r="B7" i="26" s="1"/>
  <c r="D20" i="3"/>
  <c r="D19" i="3" s="1"/>
  <c r="B10" i="26" s="1"/>
  <c r="D30" i="7"/>
  <c r="D29" i="7" s="1"/>
  <c r="F14" i="7"/>
  <c r="F13" i="7" s="1"/>
  <c r="G13" i="7" s="1"/>
  <c r="B17" i="26"/>
  <c r="E7" i="7"/>
  <c r="E6" i="7" s="1"/>
  <c r="F8" i="7"/>
  <c r="F7" i="7" s="1"/>
  <c r="E8" i="3"/>
  <c r="D7" i="7"/>
  <c r="D6" i="7" s="1"/>
  <c r="E12" i="3"/>
  <c r="E15" i="3"/>
  <c r="F15" i="3" s="1"/>
  <c r="G15" i="3" s="1"/>
  <c r="E18" i="3"/>
  <c r="E17" i="3" s="1"/>
  <c r="E24" i="7"/>
  <c r="E23" i="7" s="1"/>
  <c r="E19" i="7" s="1"/>
  <c r="E12" i="7" s="1"/>
  <c r="F21" i="7"/>
  <c r="G21" i="7" s="1"/>
  <c r="F23" i="7" l="1"/>
  <c r="G23" i="7" s="1"/>
  <c r="G24" i="7"/>
  <c r="B5" i="26"/>
  <c r="D5" i="7"/>
  <c r="E30" i="7"/>
  <c r="E29" i="7" s="1"/>
  <c r="E5" i="7" s="1"/>
  <c r="F31" i="7"/>
  <c r="F20" i="3"/>
  <c r="G20" i="3" s="1"/>
  <c r="F21" i="3"/>
  <c r="G21" i="3" s="1"/>
  <c r="E11" i="3"/>
  <c r="F12" i="3"/>
  <c r="G12" i="3" s="1"/>
  <c r="E7" i="3"/>
  <c r="F7" i="3" s="1"/>
  <c r="G7" i="3" s="1"/>
  <c r="F8" i="3"/>
  <c r="G8" i="3" s="1"/>
  <c r="D6" i="3"/>
  <c r="G14" i="7"/>
  <c r="G8" i="7"/>
  <c r="D10" i="26"/>
  <c r="F19" i="3"/>
  <c r="G19" i="3" s="1"/>
  <c r="F18" i="3"/>
  <c r="G18" i="3" s="1"/>
  <c r="E14" i="3"/>
  <c r="E13" i="3" s="1"/>
  <c r="C8" i="26" s="1"/>
  <c r="D8" i="26" s="1"/>
  <c r="E16" i="3"/>
  <c r="C9" i="26" s="1"/>
  <c r="F17" i="3"/>
  <c r="G17" i="3" s="1"/>
  <c r="F20" i="7"/>
  <c r="G20" i="7" s="1"/>
  <c r="F6" i="7"/>
  <c r="G6" i="7" s="1"/>
  <c r="G7" i="7"/>
  <c r="F12" i="7"/>
  <c r="G12" i="7" s="1"/>
  <c r="F30" i="7" l="1"/>
  <c r="F5" i="7"/>
  <c r="G5" i="7" s="1"/>
  <c r="E10" i="3"/>
  <c r="C7" i="26" s="1"/>
  <c r="D7" i="26" s="1"/>
  <c r="F11" i="3"/>
  <c r="G11" i="3" s="1"/>
  <c r="F13" i="3"/>
  <c r="G13" i="3" s="1"/>
  <c r="F14" i="3"/>
  <c r="G14" i="3" s="1"/>
  <c r="F16" i="3"/>
  <c r="G16" i="3" s="1"/>
  <c r="D9" i="26"/>
  <c r="F19" i="7"/>
  <c r="G19" i="7" s="1"/>
  <c r="F29" i="7" l="1"/>
  <c r="F10" i="3"/>
  <c r="G10" i="3" s="1"/>
  <c r="E6" i="3"/>
  <c r="F6" i="3" s="1"/>
  <c r="G6" i="3" s="1"/>
  <c r="D6" i="26" l="1"/>
  <c r="C5" i="26" l="1"/>
  <c r="D5" i="26" l="1"/>
  <c r="B13" i="26" l="1"/>
  <c r="O30" i="3"/>
  <c r="M72" i="3" l="1"/>
  <c r="N72" i="3" s="1"/>
  <c r="O72" i="3" s="1"/>
  <c r="N73" i="3"/>
  <c r="M71" i="3" l="1"/>
  <c r="N71" i="3" l="1"/>
  <c r="O71" i="3" s="1"/>
  <c r="C17" i="26"/>
  <c r="D17" i="26" s="1"/>
  <c r="N29" i="3"/>
  <c r="O29" i="3" s="1"/>
  <c r="O9" i="3" l="1"/>
  <c r="S49" i="1" l="1"/>
  <c r="I48" i="1" s="1"/>
  <c r="S47" i="1"/>
  <c r="S46" i="1"/>
  <c r="S44" i="1"/>
  <c r="I43" i="1" s="1"/>
  <c r="F42" i="1"/>
  <c r="S40" i="1"/>
  <c r="I39" i="1" s="1"/>
  <c r="S38" i="1"/>
  <c r="S37" i="1"/>
  <c r="S36" i="1"/>
  <c r="S35" i="1"/>
  <c r="S33" i="1"/>
  <c r="I32" i="1" s="1"/>
  <c r="S28" i="1"/>
  <c r="I27" i="1" s="1"/>
  <c r="S26" i="1"/>
  <c r="I25" i="1" s="1"/>
  <c r="S24" i="1"/>
  <c r="I23" i="1" s="1"/>
  <c r="S22" i="1"/>
  <c r="I21" i="1" s="1"/>
  <c r="S20" i="1"/>
  <c r="I19" i="1" s="1"/>
  <c r="S18" i="1"/>
  <c r="I17" i="1" s="1"/>
  <c r="S16" i="1"/>
  <c r="I15" i="1"/>
  <c r="S12" i="1"/>
  <c r="I11" i="1" s="1"/>
  <c r="S10" i="1"/>
  <c r="I9" i="1" s="1"/>
  <c r="S8" i="1"/>
  <c r="F6" i="1"/>
  <c r="E9" i="1" l="1"/>
  <c r="I34" i="1"/>
  <c r="G9" i="1"/>
  <c r="I7" i="1"/>
  <c r="I45" i="1"/>
  <c r="U6" i="1" s="1"/>
  <c r="E43" i="1" l="1"/>
  <c r="E42" i="1" s="1"/>
  <c r="E7" i="1"/>
  <c r="G7" i="1" s="1"/>
  <c r="I14" i="1"/>
  <c r="G43" i="1"/>
  <c r="G42" i="1" s="1"/>
  <c r="S14" i="1" l="1"/>
  <c r="I13" i="1" s="1"/>
  <c r="G41" i="1"/>
  <c r="F41" i="1" s="1"/>
  <c r="E41" i="1" s="1"/>
  <c r="E13" i="1" l="1"/>
  <c r="U2" i="1"/>
  <c r="U7" i="1" s="1"/>
  <c r="U8" i="1" s="1"/>
  <c r="G13" i="1" l="1"/>
  <c r="E32" i="1"/>
  <c r="G32" i="1" s="1"/>
  <c r="E34" i="1"/>
  <c r="G34" i="1" s="1"/>
  <c r="E39" i="1"/>
  <c r="G39" i="1" s="1"/>
  <c r="F5" i="1"/>
  <c r="F4" i="1"/>
  <c r="G6" i="1" l="1"/>
  <c r="G5" i="1" s="1"/>
  <c r="G4" i="1" s="1"/>
  <c r="E6" i="1"/>
  <c r="E5" i="1" s="1"/>
  <c r="E4" i="1" s="1"/>
  <c r="N41" i="3" l="1"/>
  <c r="O41" i="3" s="1"/>
  <c r="D16" i="26" l="1"/>
  <c r="I81" i="27" l="1"/>
  <c r="E42" i="27"/>
  <c r="M10" i="3" s="1"/>
  <c r="Q77" i="27" l="1"/>
  <c r="F42" i="27"/>
  <c r="G42" i="27" s="1"/>
  <c r="I82" i="27" l="1"/>
  <c r="Q82" i="27" s="1"/>
  <c r="Q78" i="27" s="1"/>
  <c r="N10" i="3"/>
  <c r="O10" i="3" s="1"/>
  <c r="Q76" i="27" l="1"/>
  <c r="E76" i="27" s="1"/>
  <c r="M11" i="3" s="1"/>
  <c r="N11" i="3" l="1"/>
  <c r="F76" i="27"/>
  <c r="G76" i="27" s="1"/>
  <c r="O11" i="3" l="1"/>
  <c r="I83" i="27" l="1"/>
  <c r="I84" i="27"/>
  <c r="E78" i="27" l="1"/>
  <c r="M12" i="3" s="1"/>
  <c r="N12" i="3" l="1"/>
  <c r="O12" i="3" s="1"/>
  <c r="M8" i="3"/>
  <c r="E7" i="27"/>
  <c r="F78" i="27"/>
  <c r="G78" i="27" s="1"/>
  <c r="M7" i="3" l="1"/>
  <c r="M6" i="3" s="1"/>
  <c r="N8" i="3"/>
  <c r="O8" i="3" s="1"/>
  <c r="E6" i="27"/>
  <c r="F7" i="27"/>
  <c r="G7" i="27" s="1"/>
  <c r="C14" i="26"/>
  <c r="F6" i="27" l="1"/>
  <c r="G6" i="27" s="1"/>
  <c r="N6" i="3"/>
  <c r="N7" i="3"/>
  <c r="O7" i="3" s="1"/>
  <c r="C13" i="26" l="1"/>
  <c r="D13" i="26" s="1"/>
  <c r="D14" i="26"/>
  <c r="O6" i="3"/>
  <c r="G5" i="27" l="1"/>
  <c r="F5" i="27"/>
  <c r="E5" i="27"/>
  <c r="E121" i="27"/>
  <c r="F121" i="27"/>
  <c r="G121" i="27"/>
  <c r="E122" i="27"/>
  <c r="F122" i="27"/>
  <c r="G122" i="27"/>
</calcChain>
</file>

<file path=xl/sharedStrings.xml><?xml version="1.0" encoding="utf-8"?>
<sst xmlns="http://schemas.openxmlformats.org/spreadsheetml/2006/main" count="1092" uniqueCount="477">
  <si>
    <t>x</t>
    <phoneticPr fontId="2" type="noConversion"/>
  </si>
  <si>
    <t>=</t>
    <phoneticPr fontId="2" type="noConversion"/>
  </si>
  <si>
    <t>÷</t>
  </si>
  <si>
    <t xml:space="preserve">□ 세출 각목 명세서 </t>
    <phoneticPr fontId="2" type="noConversion"/>
  </si>
  <si>
    <t>(단위 : 천원)</t>
    <phoneticPr fontId="2" type="noConversion"/>
  </si>
  <si>
    <t xml:space="preserve">사업명 </t>
    <phoneticPr fontId="2" type="noConversion"/>
  </si>
  <si>
    <t>예산과목</t>
    <phoneticPr fontId="2" type="noConversion"/>
  </si>
  <si>
    <t>예산액</t>
    <phoneticPr fontId="2" type="noConversion"/>
  </si>
  <si>
    <t>전년도
예산액</t>
    <phoneticPr fontId="2" type="noConversion"/>
  </si>
  <si>
    <t xml:space="preserve">증감 </t>
    <phoneticPr fontId="2" type="noConversion"/>
  </si>
  <si>
    <t>산   출   내   역 (단위:원)</t>
    <phoneticPr fontId="2" type="noConversion"/>
  </si>
  <si>
    <t>관</t>
    <phoneticPr fontId="2" type="noConversion"/>
  </si>
  <si>
    <t xml:space="preserve">항 </t>
    <phoneticPr fontId="2" type="noConversion"/>
  </si>
  <si>
    <t>목</t>
    <phoneticPr fontId="2" type="noConversion"/>
  </si>
  <si>
    <t xml:space="preserve">100 사무비 </t>
    <phoneticPr fontId="2" type="noConversion"/>
  </si>
  <si>
    <t xml:space="preserve">110 인건비 </t>
    <phoneticPr fontId="2" type="noConversion"/>
  </si>
  <si>
    <t>111 봉   급</t>
    <phoneticPr fontId="2" type="noConversion"/>
  </si>
  <si>
    <t>○ 봉   급</t>
    <phoneticPr fontId="2" type="noConversion"/>
  </si>
  <si>
    <t xml:space="preserve"> </t>
    <phoneticPr fontId="2" type="noConversion"/>
  </si>
  <si>
    <t>x</t>
    <phoneticPr fontId="2" type="noConversion"/>
  </si>
  <si>
    <t>=</t>
    <phoneticPr fontId="2" type="noConversion"/>
  </si>
  <si>
    <t>112 상여금</t>
    <phoneticPr fontId="2" type="noConversion"/>
  </si>
  <si>
    <t>○ 정근수당</t>
    <phoneticPr fontId="2" type="noConversion"/>
  </si>
  <si>
    <t>113 제수당</t>
    <phoneticPr fontId="2" type="noConversion"/>
  </si>
  <si>
    <t>○ 직무수당</t>
    <phoneticPr fontId="2" type="noConversion"/>
  </si>
  <si>
    <t>○ 가계보조수당</t>
    <phoneticPr fontId="2" type="noConversion"/>
  </si>
  <si>
    <t>○ 교통보조비</t>
    <phoneticPr fontId="2" type="noConversion"/>
  </si>
  <si>
    <t>○ 가계안정지원비</t>
    <phoneticPr fontId="2" type="noConversion"/>
  </si>
  <si>
    <t>○ 명절휴가비</t>
    <phoneticPr fontId="2" type="noConversion"/>
  </si>
  <si>
    <t>○ 가계지원비</t>
    <phoneticPr fontId="2" type="noConversion"/>
  </si>
  <si>
    <t>114 퇴직적립금</t>
    <phoneticPr fontId="2" type="noConversion"/>
  </si>
  <si>
    <t>○ 퇴직적립금</t>
    <phoneticPr fontId="2" type="noConversion"/>
  </si>
  <si>
    <t>115 연금.사회
     보험부담금</t>
    <phoneticPr fontId="2" type="noConversion"/>
  </si>
  <si>
    <t>○ 연금.사회보험부담금</t>
    <phoneticPr fontId="2" type="noConversion"/>
  </si>
  <si>
    <t>* 국민연금부담금</t>
    <phoneticPr fontId="2" type="noConversion"/>
  </si>
  <si>
    <t>* 의료보험부담금</t>
    <phoneticPr fontId="2" type="noConversion"/>
  </si>
  <si>
    <t>* 고용보험료</t>
    <phoneticPr fontId="2" type="noConversion"/>
  </si>
  <si>
    <t>* 산재보험료</t>
    <phoneticPr fontId="2" type="noConversion"/>
  </si>
  <si>
    <t>○ 기타후생경비</t>
    <phoneticPr fontId="2" type="noConversion"/>
  </si>
  <si>
    <t>* 피복비</t>
    <phoneticPr fontId="2" type="noConversion"/>
  </si>
  <si>
    <t>300 사업비</t>
    <phoneticPr fontId="2" type="noConversion"/>
  </si>
  <si>
    <t>C2 고령자취업센터보조사업</t>
    <phoneticPr fontId="2" type="noConversion"/>
  </si>
  <si>
    <t>C2 고령자취업센터운영사업</t>
    <phoneticPr fontId="2" type="noConversion"/>
  </si>
  <si>
    <t>360 고령자취업센터운영사업비</t>
    <phoneticPr fontId="2" type="noConversion"/>
  </si>
  <si>
    <t>361 고령자취업
      센터운영
      사업경비</t>
    <phoneticPr fontId="2" type="noConversion"/>
  </si>
  <si>
    <t>117 기타후생
      경비</t>
    <phoneticPr fontId="2" type="noConversion"/>
  </si>
  <si>
    <t>○ 급량비</t>
    <phoneticPr fontId="2" type="noConversion"/>
  </si>
  <si>
    <t>* 사회복지사(3호봉)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</si>
  <si>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</si>
  <si>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</si>
  <si>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</si>
  <si>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사업비</t>
    <phoneticPr fontId="2" type="noConversion"/>
  </si>
  <si>
    <t>재산조성비</t>
    <phoneticPr fontId="2" type="noConversion"/>
  </si>
  <si>
    <t>○ 상여금(기말수당)</t>
    <phoneticPr fontId="2" type="noConversion"/>
  </si>
  <si>
    <t>○ 자격수당</t>
    <phoneticPr fontId="2" type="noConversion"/>
  </si>
  <si>
    <t>* 사회복지사(3호봉)</t>
  </si>
  <si>
    <t>x</t>
    <phoneticPr fontId="2" type="noConversion"/>
  </si>
  <si>
    <t>=</t>
    <phoneticPr fontId="2" type="noConversion"/>
  </si>
  <si>
    <t>○ 취업훈련서비스</t>
    <phoneticPr fontId="2" type="noConversion"/>
  </si>
  <si>
    <t xml:space="preserve">   * 현장방문(견학)</t>
    <phoneticPr fontId="2" type="noConversion"/>
  </si>
  <si>
    <t>○ 교육훈련서비스</t>
    <phoneticPr fontId="2" type="noConversion"/>
  </si>
  <si>
    <t xml:space="preserve">   * 소양교육</t>
    <phoneticPr fontId="2" type="noConversion"/>
  </si>
  <si>
    <t xml:space="preserve">   * 직무교육</t>
    <phoneticPr fontId="2" type="noConversion"/>
  </si>
  <si>
    <t>○ 홍보</t>
    <phoneticPr fontId="2" type="noConversion"/>
  </si>
  <si>
    <t xml:space="preserve">   * 현수막제작</t>
    <phoneticPr fontId="2" type="noConversion"/>
  </si>
  <si>
    <t>증감</t>
    <phoneticPr fontId="2" type="noConversion"/>
  </si>
  <si>
    <t>x</t>
  </si>
  <si>
    <t>○ 제수당</t>
    <phoneticPr fontId="2" type="noConversion"/>
  </si>
  <si>
    <t>=</t>
  </si>
  <si>
    <t>○ 급   여</t>
    <phoneticPr fontId="2" type="noConversion"/>
  </si>
  <si>
    <t>증 감</t>
  </si>
  <si>
    <t>사무비</t>
  </si>
  <si>
    <t>예 산 과 목</t>
  </si>
  <si>
    <t>관</t>
  </si>
  <si>
    <t>목</t>
  </si>
  <si>
    <t>총 계</t>
  </si>
  <si>
    <t>○ 여  비</t>
    <phoneticPr fontId="2" type="noConversion"/>
  </si>
  <si>
    <t>산   출   내   역 (단위 : 원)</t>
    <phoneticPr fontId="2" type="noConversion"/>
  </si>
  <si>
    <t>제수당</t>
    <phoneticPr fontId="2" type="noConversion"/>
  </si>
  <si>
    <t>예비비</t>
    <phoneticPr fontId="2" type="noConversion"/>
  </si>
  <si>
    <t>급  여</t>
    <phoneticPr fontId="2" type="noConversion"/>
  </si>
  <si>
    <t>합 계</t>
    <phoneticPr fontId="2" type="noConversion"/>
  </si>
  <si>
    <t>소 계</t>
    <phoneticPr fontId="2" type="noConversion"/>
  </si>
  <si>
    <t>비율
(%)</t>
    <phoneticPr fontId="2" type="noConversion"/>
  </si>
  <si>
    <t>후원금</t>
    <phoneticPr fontId="2" type="noConversion"/>
  </si>
  <si>
    <t>반환금</t>
    <phoneticPr fontId="2" type="noConversion"/>
  </si>
  <si>
    <t>○ 후원금</t>
    <phoneticPr fontId="2" type="noConversion"/>
  </si>
  <si>
    <t>(단위 : 천원)</t>
  </si>
  <si>
    <t>과 목</t>
  </si>
  <si>
    <t>증  감</t>
  </si>
  <si>
    <t>비  고</t>
    <phoneticPr fontId="2" type="noConversion"/>
  </si>
  <si>
    <t>잡수입</t>
  </si>
  <si>
    <t>사무비</t>
    <phoneticPr fontId="2" type="noConversion"/>
  </si>
  <si>
    <t>사업비</t>
    <phoneticPr fontId="2" type="noConversion"/>
  </si>
  <si>
    <t>예비비 및 기타</t>
  </si>
  <si>
    <t>예비비및기타</t>
    <phoneticPr fontId="2" type="noConversion"/>
  </si>
  <si>
    <t>○ 예비비및기타</t>
    <phoneticPr fontId="2" type="noConversion"/>
  </si>
  <si>
    <t>예비비
및기타</t>
    <phoneticPr fontId="2" type="noConversion"/>
  </si>
  <si>
    <t>이월금</t>
  </si>
  <si>
    <t>○ 반환금</t>
    <phoneticPr fontId="2" type="noConversion"/>
  </si>
  <si>
    <t>(단위 : 천원)</t>
    <phoneticPr fontId="2" type="noConversion"/>
  </si>
  <si>
    <t>예산액</t>
    <phoneticPr fontId="2" type="noConversion"/>
  </si>
  <si>
    <t>산출내역 (단위 : 원)</t>
    <phoneticPr fontId="2" type="noConversion"/>
  </si>
  <si>
    <t>항</t>
    <phoneticPr fontId="2" type="noConversion"/>
  </si>
  <si>
    <t>금액
(B-A)</t>
    <phoneticPr fontId="2" type="noConversion"/>
  </si>
  <si>
    <t>비율
(%)</t>
    <phoneticPr fontId="2" type="noConversion"/>
  </si>
  <si>
    <t>=</t>
    <phoneticPr fontId="2" type="noConversion"/>
  </si>
  <si>
    <t>잡수입</t>
    <phoneticPr fontId="2" type="noConversion"/>
  </si>
  <si>
    <t>○ 잡수입</t>
    <phoneticPr fontId="2" type="noConversion"/>
  </si>
  <si>
    <t>이월금</t>
    <phoneticPr fontId="2" type="noConversion"/>
  </si>
  <si>
    <t>○ 이월금</t>
    <phoneticPr fontId="2" type="noConversion"/>
  </si>
  <si>
    <t>세               입</t>
    <phoneticPr fontId="2" type="noConversion"/>
  </si>
  <si>
    <t>세               출</t>
    <phoneticPr fontId="2" type="noConversion"/>
  </si>
  <si>
    <t>예산과목</t>
    <phoneticPr fontId="2" type="noConversion"/>
  </si>
  <si>
    <t>증감(B-A)</t>
    <phoneticPr fontId="2" type="noConversion"/>
  </si>
  <si>
    <t>예산과목</t>
    <phoneticPr fontId="2" type="noConversion"/>
  </si>
  <si>
    <t>관</t>
    <phoneticPr fontId="2" type="noConversion"/>
  </si>
  <si>
    <t>목</t>
    <phoneticPr fontId="2" type="noConversion"/>
  </si>
  <si>
    <t>금액</t>
    <phoneticPr fontId="2" type="noConversion"/>
  </si>
  <si>
    <t>비율(%)</t>
    <phoneticPr fontId="2" type="noConversion"/>
  </si>
  <si>
    <t>관</t>
    <phoneticPr fontId="2" type="noConversion"/>
  </si>
  <si>
    <t>항</t>
    <phoneticPr fontId="2" type="noConversion"/>
  </si>
  <si>
    <t>비율(%)</t>
    <phoneticPr fontId="2" type="noConversion"/>
  </si>
  <si>
    <t>총계</t>
    <phoneticPr fontId="2" type="noConversion"/>
  </si>
  <si>
    <t>합계</t>
    <phoneticPr fontId="2" type="noConversion"/>
  </si>
  <si>
    <t>소계</t>
    <phoneticPr fontId="2" type="noConversion"/>
  </si>
  <si>
    <t>소계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</si>
  <si>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</si>
  <si>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</si>
  <si>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</si>
  <si>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예비비</t>
    <phoneticPr fontId="2" type="noConversion"/>
  </si>
  <si>
    <t>반환금</t>
    <phoneticPr fontId="2" type="noConversion"/>
  </si>
  <si>
    <t xml:space="preserve">    지정후원금 등은 우선 이사장이 내역에 명시된 바에 따라 집행할 수 있으며, 차기 추가경정예산에 반영해야 한다.</t>
    <phoneticPr fontId="2" type="noConversion"/>
  </si>
  <si>
    <t>건강보험</t>
    <phoneticPr fontId="2" type="noConversion"/>
  </si>
  <si>
    <t>장기요양보험</t>
    <phoneticPr fontId="2" type="noConversion"/>
  </si>
  <si>
    <t>국민연금보험</t>
    <phoneticPr fontId="2" type="noConversion"/>
  </si>
  <si>
    <t>고용보험</t>
    <phoneticPr fontId="2" type="noConversion"/>
  </si>
  <si>
    <t>산재보험</t>
    <phoneticPr fontId="2" type="noConversion"/>
  </si>
  <si>
    <t>○ 차량유지비</t>
    <phoneticPr fontId="2" type="noConversion"/>
  </si>
  <si>
    <t xml:space="preserve"> - 사대보험부담금</t>
    <phoneticPr fontId="2" type="noConversion"/>
  </si>
  <si>
    <t xml:space="preserve"> - 전화요금</t>
    <phoneticPr fontId="2" type="noConversion"/>
  </si>
  <si>
    <t xml:space="preserve"> - 국내외여비</t>
    <phoneticPr fontId="2" type="noConversion"/>
  </si>
  <si>
    <t>총 계</t>
    <phoneticPr fontId="2" type="noConversion"/>
  </si>
  <si>
    <t>예비비
및기타</t>
    <phoneticPr fontId="2" type="noConversion"/>
  </si>
  <si>
    <t>이월금</t>
    <phoneticPr fontId="2" type="noConversion"/>
  </si>
  <si>
    <t>잡수입(이월금)</t>
    <phoneticPr fontId="2" type="noConversion"/>
  </si>
  <si>
    <t>예금이자수입</t>
    <phoneticPr fontId="2" type="noConversion"/>
  </si>
  <si>
    <t>전입금(이월금)</t>
    <phoneticPr fontId="2" type="noConversion"/>
  </si>
  <si>
    <t>사무비계</t>
    <phoneticPr fontId="2" type="noConversion"/>
  </si>
  <si>
    <t>인건비계</t>
    <phoneticPr fontId="2" type="noConversion"/>
  </si>
  <si>
    <t xml:space="preserve"> - 차량검사료(정기)</t>
    <phoneticPr fontId="2" type="noConversion"/>
  </si>
  <si>
    <t>후원금(이월금)</t>
    <phoneticPr fontId="2" type="noConversion"/>
  </si>
  <si>
    <t>여비</t>
    <phoneticPr fontId="2" type="noConversion"/>
  </si>
  <si>
    <t xml:space="preserve"> - 기타후생경비</t>
    <phoneticPr fontId="2" type="noConversion"/>
  </si>
  <si>
    <t>금액
(B-A)</t>
    <phoneticPr fontId="2" type="noConversion"/>
  </si>
  <si>
    <t>예비비</t>
    <phoneticPr fontId="2" type="noConversion"/>
  </si>
  <si>
    <r>
      <rPr>
        <sz val="14"/>
        <color indexed="8"/>
        <rFont val="맑은 고딕"/>
        <family val="3"/>
        <charset val="129"/>
        <scheme val="major"/>
      </rPr>
      <t>◯ 세입</t>
    </r>
  </si>
  <si>
    <r>
      <rPr>
        <sz val="14"/>
        <color indexed="8"/>
        <rFont val="맑은 고딕"/>
        <family val="3"/>
        <charset val="128"/>
        <scheme val="major"/>
      </rPr>
      <t>◯</t>
    </r>
    <r>
      <rPr>
        <sz val="14"/>
        <color indexed="8"/>
        <rFont val="맑은 고딕"/>
        <family val="3"/>
        <charset val="129"/>
        <scheme val="major"/>
      </rPr>
      <t xml:space="preserve"> 세출</t>
    </r>
  </si>
  <si>
    <r>
      <rPr>
        <sz val="12"/>
        <color indexed="8"/>
        <rFont val="맑은 고딕"/>
        <family val="3"/>
        <charset val="128"/>
        <scheme val="major"/>
      </rPr>
      <t>◯</t>
    </r>
    <r>
      <rPr>
        <sz val="12"/>
        <color indexed="8"/>
        <rFont val="맑은 고딕"/>
        <family val="3"/>
        <charset val="129"/>
        <scheme val="major"/>
      </rPr>
      <t xml:space="preserve"> 예산 성립 후 회계연도 중에 사업내용이 명시되어 수입되는 국가 및 지자체의 보조금, 기금후원금, 공모제안사업 후원금,</t>
    </r>
    <phoneticPr fontId="2" type="noConversion"/>
  </si>
  <si>
    <t xml:space="preserve"> - 수당1</t>
    <phoneticPr fontId="2" type="noConversion"/>
  </si>
  <si>
    <t xml:space="preserve"> - 수당2</t>
    <phoneticPr fontId="2" type="noConversion"/>
  </si>
  <si>
    <t xml:space="preserve"> - 차량정비유지비</t>
    <phoneticPr fontId="2" type="noConversion"/>
  </si>
  <si>
    <t xml:space="preserve"> - 생애주기별부모교육</t>
    <phoneticPr fontId="2" type="noConversion"/>
  </si>
  <si>
    <t xml:space="preserve"> - 남성가족생활교육</t>
    <phoneticPr fontId="2" type="noConversion"/>
  </si>
  <si>
    <t>2020년 4차추경</t>
    <phoneticPr fontId="2" type="noConversion"/>
  </si>
  <si>
    <t>사업수입</t>
    <phoneticPr fontId="2" type="noConversion"/>
  </si>
  <si>
    <t>후원금</t>
    <phoneticPr fontId="2" type="noConversion"/>
  </si>
  <si>
    <t>보조금</t>
    <phoneticPr fontId="2" type="noConversion"/>
  </si>
  <si>
    <t>사업수입</t>
    <phoneticPr fontId="2" type="noConversion"/>
  </si>
  <si>
    <t>보조금</t>
    <phoneticPr fontId="2" type="noConversion"/>
  </si>
  <si>
    <t>후원금</t>
    <phoneticPr fontId="2" type="noConversion"/>
  </si>
  <si>
    <t>후원금</t>
    <phoneticPr fontId="2" type="noConversion"/>
  </si>
  <si>
    <t>보조금</t>
    <phoneticPr fontId="2" type="noConversion"/>
  </si>
  <si>
    <t>사업수입</t>
    <phoneticPr fontId="2" type="noConversion"/>
  </si>
  <si>
    <t>장난감도서관</t>
    <phoneticPr fontId="2" type="noConversion"/>
  </si>
  <si>
    <t>아이돌보미실비사업수입</t>
    <phoneticPr fontId="2" type="noConversion"/>
  </si>
  <si>
    <t>아이돌보미교육기관수입</t>
    <phoneticPr fontId="2" type="noConversion"/>
  </si>
  <si>
    <t>○ 사업수입</t>
    <phoneticPr fontId="2" type="noConversion"/>
  </si>
  <si>
    <t>○ 보조금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</si>
  <si>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</si>
  <si>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</si>
  <si>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</si>
  <si>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기타보조금</t>
    <phoneticPr fontId="2" type="noConversion"/>
  </si>
  <si>
    <t>지정후원금</t>
    <phoneticPr fontId="2" type="noConversion"/>
  </si>
  <si>
    <t>○ 가족교육</t>
    <phoneticPr fontId="2" type="noConversion"/>
  </si>
  <si>
    <t>가족교육</t>
    <phoneticPr fontId="2" type="noConversion"/>
  </si>
  <si>
    <t xml:space="preserve"> - 학령기자녀교육</t>
    <phoneticPr fontId="2" type="noConversion"/>
  </si>
  <si>
    <t>가족상담</t>
    <phoneticPr fontId="2" type="noConversion"/>
  </si>
  <si>
    <t>○ 가족상담</t>
    <phoneticPr fontId="2" type="noConversion"/>
  </si>
  <si>
    <t>- 상담프로그램 심리검사지</t>
    <phoneticPr fontId="2" type="noConversion"/>
  </si>
  <si>
    <t>- 상담프로그램 집단상담</t>
    <phoneticPr fontId="2" type="noConversion"/>
  </si>
  <si>
    <t>가족돌봄</t>
    <phoneticPr fontId="2" type="noConversion"/>
  </si>
  <si>
    <t>○ 가족돌봄</t>
    <phoneticPr fontId="2" type="noConversion"/>
  </si>
  <si>
    <t>- 상담프로그램 면접상담</t>
    <phoneticPr fontId="2" type="noConversion"/>
  </si>
  <si>
    <t>- 봉사단 정기봉사</t>
    <phoneticPr fontId="2" type="noConversion"/>
  </si>
  <si>
    <t>- 봉사단 리더회의</t>
    <phoneticPr fontId="2" type="noConversion"/>
  </si>
  <si>
    <t>- 봉사단 보수교육</t>
    <phoneticPr fontId="2" type="noConversion"/>
  </si>
  <si>
    <t>- 봉사단 단합대회</t>
    <phoneticPr fontId="2" type="noConversion"/>
  </si>
  <si>
    <t>가족문화</t>
    <phoneticPr fontId="2" type="noConversion"/>
  </si>
  <si>
    <t>○ 가족문화</t>
    <phoneticPr fontId="2" type="noConversion"/>
  </si>
  <si>
    <t>- 당진시건강가정대축제</t>
    <phoneticPr fontId="2" type="noConversion"/>
  </si>
  <si>
    <t>- 가족사랑의 날</t>
    <phoneticPr fontId="2" type="noConversion"/>
  </si>
  <si>
    <t>지역사회연계</t>
    <phoneticPr fontId="2" type="noConversion"/>
  </si>
  <si>
    <t>○ 지역사회연계</t>
    <phoneticPr fontId="2" type="noConversion"/>
  </si>
  <si>
    <t>- 지역사회네트워크구축</t>
    <phoneticPr fontId="2" type="noConversion"/>
  </si>
  <si>
    <t>기타사업</t>
    <phoneticPr fontId="2" type="noConversion"/>
  </si>
  <si>
    <t>- 위기가족지원사업</t>
    <phoneticPr fontId="2" type="noConversion"/>
  </si>
  <si>
    <t>외부지원사업</t>
    <phoneticPr fontId="2" type="noConversion"/>
  </si>
  <si>
    <t>○ 외부지원사업</t>
    <phoneticPr fontId="2" type="noConversion"/>
  </si>
  <si>
    <t>공동육아나눔터운영</t>
    <phoneticPr fontId="2" type="noConversion"/>
  </si>
  <si>
    <t>○ 공동육아나눔터운영</t>
    <phoneticPr fontId="2" type="noConversion"/>
  </si>
  <si>
    <t>- 상시프로그램</t>
    <phoneticPr fontId="2" type="noConversion"/>
  </si>
  <si>
    <t>- 초등맞벌이돌봄교실</t>
    <phoneticPr fontId="2" type="noConversion"/>
  </si>
  <si>
    <t>모두가족품앗이</t>
    <phoneticPr fontId="2" type="noConversion"/>
  </si>
  <si>
    <t>○ 모두가족품앗이운영</t>
    <phoneticPr fontId="2" type="noConversion"/>
  </si>
  <si>
    <t>- 자녀돌봄품앗이 운영관리</t>
    <phoneticPr fontId="2" type="noConversion"/>
  </si>
  <si>
    <t>- 품앗이 대상교육</t>
    <phoneticPr fontId="2" type="noConversion"/>
  </si>
  <si>
    <t>- 품앗이 전체모임</t>
    <phoneticPr fontId="2" type="noConversion"/>
  </si>
  <si>
    <t>- 품앗이 양성교육</t>
    <phoneticPr fontId="2" type="noConversion"/>
  </si>
  <si>
    <t>정보제공사업</t>
    <phoneticPr fontId="2" type="noConversion"/>
  </si>
  <si>
    <t>○ 정보제공사업</t>
    <phoneticPr fontId="2" type="noConversion"/>
  </si>
  <si>
    <t>- 사업보고대회 등 기념식</t>
    <phoneticPr fontId="2" type="noConversion"/>
  </si>
  <si>
    <t>- 홍보사업</t>
    <phoneticPr fontId="2" type="noConversion"/>
  </si>
  <si>
    <t>워킹가족상담</t>
    <phoneticPr fontId="2" type="noConversion"/>
  </si>
  <si>
    <t>- 가족상담</t>
    <phoneticPr fontId="2" type="noConversion"/>
  </si>
  <si>
    <t>○ 워킹상담</t>
    <phoneticPr fontId="2" type="noConversion"/>
  </si>
  <si>
    <t>워킹문화사업</t>
    <phoneticPr fontId="2" type="noConversion"/>
  </si>
  <si>
    <t>○ 워킹문화사업</t>
    <phoneticPr fontId="2" type="noConversion"/>
  </si>
  <si>
    <t>- 주말놀이학교</t>
    <phoneticPr fontId="2" type="noConversion"/>
  </si>
  <si>
    <t>- 아빠는내친구</t>
    <phoneticPr fontId="2" type="noConversion"/>
  </si>
  <si>
    <t>워킹돌봄사업</t>
    <phoneticPr fontId="2" type="noConversion"/>
  </si>
  <si>
    <t>○ 워킹돌봄사업</t>
    <phoneticPr fontId="2" type="noConversion"/>
  </si>
  <si>
    <t>- 방학중자녀돌봄교실</t>
    <phoneticPr fontId="2" type="noConversion"/>
  </si>
  <si>
    <t>역량프로그램운영</t>
    <phoneticPr fontId="2" type="noConversion"/>
  </si>
  <si>
    <t>○ 프로그램운영비</t>
    <phoneticPr fontId="2" type="noConversion"/>
  </si>
  <si>
    <t>○ 자조모임운영비</t>
    <phoneticPr fontId="2" type="noConversion"/>
  </si>
  <si>
    <t>- 프로그램운영비</t>
    <phoneticPr fontId="2" type="noConversion"/>
  </si>
  <si>
    <t>- 자조모임운영</t>
    <phoneticPr fontId="2" type="noConversion"/>
  </si>
  <si>
    <t>역량자조모임운영</t>
    <phoneticPr fontId="2" type="noConversion"/>
  </si>
  <si>
    <t>역량학습정서지원</t>
    <phoneticPr fontId="2" type="noConversion"/>
  </si>
  <si>
    <t>○ 학습정서지원</t>
    <phoneticPr fontId="2" type="noConversion"/>
  </si>
  <si>
    <t>- 배움지도사수당 및 교통비</t>
    <phoneticPr fontId="2" type="noConversion"/>
  </si>
  <si>
    <t>- 배움지도사 보험료</t>
    <phoneticPr fontId="2" type="noConversion"/>
  </si>
  <si>
    <t>- 교재비</t>
    <phoneticPr fontId="2" type="noConversion"/>
  </si>
  <si>
    <t>- 배움지도사 전문인 배상책임 보험</t>
    <phoneticPr fontId="2" type="noConversion"/>
  </si>
  <si>
    <t>역량생활가사도움지원</t>
    <phoneticPr fontId="2" type="noConversion"/>
  </si>
  <si>
    <t>○ 생활가사도움지원</t>
    <phoneticPr fontId="2" type="noConversion"/>
  </si>
  <si>
    <t>- 생활가사도움지원(위기)</t>
    <phoneticPr fontId="2" type="noConversion"/>
  </si>
  <si>
    <t>역량인력양성</t>
    <phoneticPr fontId="2" type="noConversion"/>
  </si>
  <si>
    <t>○ 역량인력양성</t>
    <phoneticPr fontId="2" type="noConversion"/>
  </si>
  <si>
    <t>- 월례회의 및 보수교육</t>
    <phoneticPr fontId="2" type="noConversion"/>
  </si>
  <si>
    <t>역량심리정서지원</t>
    <phoneticPr fontId="2" type="noConversion"/>
  </si>
  <si>
    <t>○ 역량심리정서지원</t>
    <phoneticPr fontId="2" type="noConversion"/>
  </si>
  <si>
    <t>- 심리정서지원</t>
    <phoneticPr fontId="2" type="noConversion"/>
  </si>
  <si>
    <t>○ 역량취약위기가족긴급지원</t>
    <phoneticPr fontId="2" type="noConversion"/>
  </si>
  <si>
    <t>- 취약위기가족긴급지원</t>
    <phoneticPr fontId="2" type="noConversion"/>
  </si>
  <si>
    <t>취약위기가족긴급지원</t>
    <phoneticPr fontId="2" type="noConversion"/>
  </si>
  <si>
    <t>아이돌봄교육기관</t>
    <phoneticPr fontId="2" type="noConversion"/>
  </si>
  <si>
    <t>- 아이돌봄활동수당</t>
    <phoneticPr fontId="2" type="noConversion"/>
  </si>
  <si>
    <t>○ 아이돌봄교육기관</t>
    <phoneticPr fontId="2" type="noConversion"/>
  </si>
  <si>
    <t>- 아이돌봄교육기관</t>
    <phoneticPr fontId="2" type="noConversion"/>
  </si>
  <si>
    <t>수용비및수수료</t>
    <phoneticPr fontId="2" type="noConversion"/>
  </si>
  <si>
    <t>공공요금</t>
    <phoneticPr fontId="2" type="noConversion"/>
  </si>
  <si>
    <t xml:space="preserve">○ 공공요금  </t>
    <phoneticPr fontId="2" type="noConversion"/>
  </si>
  <si>
    <t xml:space="preserve"> - 전기요금</t>
    <phoneticPr fontId="2" type="noConversion"/>
  </si>
  <si>
    <t>○ 수용비및수수료</t>
    <phoneticPr fontId="2" type="noConversion"/>
  </si>
  <si>
    <t>- 수수료</t>
    <phoneticPr fontId="2" type="noConversion"/>
  </si>
  <si>
    <t>- 정수기사용요금</t>
    <phoneticPr fontId="2" type="noConversion"/>
  </si>
  <si>
    <t>- 사무용품구입</t>
    <phoneticPr fontId="2" type="noConversion"/>
  </si>
  <si>
    <t>- 복사용지구입</t>
    <phoneticPr fontId="2" type="noConversion"/>
  </si>
  <si>
    <t>제세공과금</t>
    <phoneticPr fontId="2" type="noConversion"/>
  </si>
  <si>
    <t>○ 제세공과금</t>
    <phoneticPr fontId="2" type="noConversion"/>
  </si>
  <si>
    <t>- 차량보험</t>
    <phoneticPr fontId="2" type="noConversion"/>
  </si>
  <si>
    <t>- 신원보증보험</t>
    <phoneticPr fontId="2" type="noConversion"/>
  </si>
  <si>
    <t>- 배상책임보험</t>
    <phoneticPr fontId="2" type="noConversion"/>
  </si>
  <si>
    <t>차량비</t>
    <phoneticPr fontId="2" type="noConversion"/>
  </si>
  <si>
    <t>기타운영비</t>
    <phoneticPr fontId="2" type="noConversion"/>
  </si>
  <si>
    <t xml:space="preserve"> - 홍보비</t>
    <phoneticPr fontId="2" type="noConversion"/>
  </si>
  <si>
    <t xml:space="preserve"> - 직원교육비</t>
    <phoneticPr fontId="2" type="noConversion"/>
  </si>
  <si>
    <t xml:space="preserve"> - 기타운영비</t>
    <phoneticPr fontId="2" type="noConversion"/>
  </si>
  <si>
    <t>기관운영비</t>
    <phoneticPr fontId="2" type="noConversion"/>
  </si>
  <si>
    <t>○ 기관운영비</t>
    <phoneticPr fontId="2" type="noConversion"/>
  </si>
  <si>
    <t xml:space="preserve"> - 기관운영비</t>
    <phoneticPr fontId="2" type="noConversion"/>
  </si>
  <si>
    <t>회의비</t>
    <phoneticPr fontId="2" type="noConversion"/>
  </si>
  <si>
    <t>○ 회의비</t>
    <phoneticPr fontId="2" type="noConversion"/>
  </si>
  <si>
    <t xml:space="preserve"> - 회의비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</si>
  <si>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</si>
  <si>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</si>
  <si>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</si>
  <si>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</si>
  <si>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○ 시설비</t>
    <phoneticPr fontId="2" type="noConversion"/>
  </si>
  <si>
    <t xml:space="preserve"> - 시설비</t>
    <phoneticPr fontId="2" type="noConversion"/>
  </si>
  <si>
    <t>○ 자산취득비</t>
    <phoneticPr fontId="2" type="noConversion"/>
  </si>
  <si>
    <t>- 사무비품</t>
    <phoneticPr fontId="2" type="noConversion"/>
  </si>
  <si>
    <t>- 장난감구입</t>
    <phoneticPr fontId="2" type="noConversion"/>
  </si>
  <si>
    <t>아이돌보미수당</t>
    <phoneticPr fontId="2" type="noConversion"/>
  </si>
  <si>
    <t>아이돌보미관리비</t>
    <phoneticPr fontId="2" type="noConversion"/>
  </si>
  <si>
    <t>- 명절수당</t>
    <phoneticPr fontId="2" type="noConversion"/>
  </si>
  <si>
    <t>○ 아이돌보미수당</t>
    <phoneticPr fontId="2" type="noConversion"/>
  </si>
  <si>
    <t>배상보험료</t>
    <phoneticPr fontId="2" type="noConversion"/>
  </si>
  <si>
    <t>4대보험료</t>
    <phoneticPr fontId="2" type="noConversion"/>
  </si>
  <si>
    <t>퇴직금및퇴직적립금</t>
    <phoneticPr fontId="2" type="noConversion"/>
  </si>
  <si>
    <t>○ 아이돌보미관리비</t>
    <phoneticPr fontId="2" type="noConversion"/>
  </si>
  <si>
    <t>○ 아이돌보미 교육비</t>
    <phoneticPr fontId="2" type="noConversion"/>
  </si>
  <si>
    <t>아이돌보미현장실습</t>
    <phoneticPr fontId="2" type="noConversion"/>
  </si>
  <si>
    <t>아이돌보미양성교육</t>
    <phoneticPr fontId="2" type="noConversion"/>
  </si>
  <si>
    <t>아이돌보미보수교육</t>
    <phoneticPr fontId="2" type="noConversion"/>
  </si>
  <si>
    <t>관리수당</t>
    <phoneticPr fontId="2" type="noConversion"/>
  </si>
  <si>
    <t>여비</t>
    <phoneticPr fontId="2" type="noConversion"/>
  </si>
  <si>
    <t>수용비및수수료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</si>
  <si>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</si>
  <si>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</si>
  <si>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</si>
  <si>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재산조성비</t>
    <phoneticPr fontId="2" type="noConversion"/>
  </si>
  <si>
    <t>시설비</t>
    <phoneticPr fontId="2" type="noConversion"/>
  </si>
  <si>
    <t>건강가정지원사업</t>
    <phoneticPr fontId="2" type="noConversion"/>
  </si>
  <si>
    <t>가족교육사업</t>
    <phoneticPr fontId="2" type="noConversion"/>
  </si>
  <si>
    <t>가족상담사업</t>
    <phoneticPr fontId="2" type="noConversion"/>
  </si>
  <si>
    <t>가족문화사업</t>
    <phoneticPr fontId="2" type="noConversion"/>
  </si>
  <si>
    <t>가족돌봄사업</t>
    <phoneticPr fontId="2" type="noConversion"/>
  </si>
  <si>
    <t>지역사회연계</t>
    <phoneticPr fontId="2" type="noConversion"/>
  </si>
  <si>
    <t>기타사업</t>
    <phoneticPr fontId="2" type="noConversion"/>
  </si>
  <si>
    <t>외부지원사업</t>
    <phoneticPr fontId="2" type="noConversion"/>
  </si>
  <si>
    <t>공동육아나눔터사업</t>
    <phoneticPr fontId="2" type="noConversion"/>
  </si>
  <si>
    <t>워킹맘워킹대디지원사업</t>
    <phoneticPr fontId="2" type="noConversion"/>
  </si>
  <si>
    <t>공동육아나눔터운영</t>
    <phoneticPr fontId="2" type="noConversion"/>
  </si>
  <si>
    <t>모두가족품앗이운영</t>
    <phoneticPr fontId="2" type="noConversion"/>
  </si>
  <si>
    <t>정보제공사업</t>
    <phoneticPr fontId="2" type="noConversion"/>
  </si>
  <si>
    <t>워킹상담사업</t>
    <phoneticPr fontId="2" type="noConversion"/>
  </si>
  <si>
    <t>워킹문화사업</t>
    <phoneticPr fontId="2" type="noConversion"/>
  </si>
  <si>
    <t>워킹돌봄사업</t>
    <phoneticPr fontId="2" type="noConversion"/>
  </si>
  <si>
    <t>가족역량강화지원사업</t>
    <phoneticPr fontId="2" type="noConversion"/>
  </si>
  <si>
    <t>아이돌봄지원사업</t>
    <phoneticPr fontId="2" type="noConversion"/>
  </si>
  <si>
    <t>아이돌보미관리비</t>
    <phoneticPr fontId="2" type="noConversion"/>
  </si>
  <si>
    <t>아이돌보미교육기관</t>
    <phoneticPr fontId="2" type="noConversion"/>
  </si>
  <si>
    <t>프로그램운영</t>
    <phoneticPr fontId="2" type="noConversion"/>
  </si>
  <si>
    <t>자조모임운영</t>
    <phoneticPr fontId="2" type="noConversion"/>
  </si>
  <si>
    <t>학습정서지원</t>
    <phoneticPr fontId="2" type="noConversion"/>
  </si>
  <si>
    <t>생활가사도움</t>
    <phoneticPr fontId="2" type="noConversion"/>
  </si>
  <si>
    <t>인력양성</t>
    <phoneticPr fontId="2" type="noConversion"/>
  </si>
  <si>
    <t>심리정서지원</t>
    <phoneticPr fontId="2" type="noConversion"/>
  </si>
  <si>
    <t>취약위기가족긴급지원</t>
    <phoneticPr fontId="2" type="noConversion"/>
  </si>
  <si>
    <t>사업비</t>
  </si>
  <si>
    <t>사업수입</t>
    <phoneticPr fontId="2" type="noConversion"/>
  </si>
  <si>
    <t>보조금</t>
    <phoneticPr fontId="2" type="noConversion"/>
  </si>
  <si>
    <t>후원금</t>
    <phoneticPr fontId="2" type="noConversion"/>
  </si>
  <si>
    <t>2021년 예산서</t>
    <phoneticPr fontId="2" type="noConversion"/>
  </si>
  <si>
    <t>당진시건강가정지원센터</t>
    <phoneticPr fontId="2" type="noConversion"/>
  </si>
  <si>
    <r>
      <t>○</t>
    </r>
    <r>
      <rPr>
        <b/>
        <sz val="14"/>
        <color rgb="FF0000FF"/>
        <rFont val="맑은 고딕"/>
        <family val="3"/>
        <charset val="129"/>
        <scheme val="major"/>
      </rPr>
      <t xml:space="preserve"> 당진시건강가정지원센터</t>
    </r>
    <r>
      <rPr>
        <sz val="14"/>
        <rFont val="맑은 고딕"/>
        <family val="3"/>
        <charset val="129"/>
        <scheme val="major"/>
      </rPr>
      <t>의 사업기간은 2021년 1월 1일부터 12월 31일까지이며, 세입세출예산명세는 다음과 같다.</t>
    </r>
    <phoneticPr fontId="2" type="noConversion"/>
  </si>
  <si>
    <t>2021년 본예산</t>
    <phoneticPr fontId="2" type="noConversion"/>
  </si>
  <si>
    <t>2020년
4차추경(A)</t>
    <phoneticPr fontId="2" type="noConversion"/>
  </si>
  <si>
    <t>2021년
본예산(B)</t>
    <phoneticPr fontId="2" type="noConversion"/>
  </si>
  <si>
    <t>2020년
4차추경(A)</t>
    <phoneticPr fontId="2" type="noConversion"/>
  </si>
  <si>
    <t>2020년
4차추경(A)</t>
    <phoneticPr fontId="2" type="noConversion"/>
  </si>
  <si>
    <t>2021년
본예산(B)</t>
    <phoneticPr fontId="2" type="noConversion"/>
  </si>
  <si>
    <t>○ 기타운영비</t>
    <phoneticPr fontId="2" type="noConversion"/>
  </si>
  <si>
    <t>기관운영비 계</t>
    <phoneticPr fontId="2" type="noConversion"/>
  </si>
  <si>
    <t>운영비 계</t>
    <phoneticPr fontId="2" type="noConversion"/>
  </si>
  <si>
    <t>사대보험부담금</t>
    <phoneticPr fontId="2" type="noConversion"/>
  </si>
  <si>
    <t>기타후생경비</t>
    <phoneticPr fontId="2" type="noConversion"/>
  </si>
  <si>
    <t>○ 사대보험부담금</t>
    <phoneticPr fontId="2" type="noConversion"/>
  </si>
  <si>
    <t>=</t>
    <phoneticPr fontId="2" type="noConversion"/>
  </si>
  <si>
    <t>초등돌봄교사</t>
    <phoneticPr fontId="2" type="noConversion"/>
  </si>
  <si>
    <t>시간제근로자</t>
    <phoneticPr fontId="2" type="noConversion"/>
  </si>
  <si>
    <t>퇴직적립금</t>
    <phoneticPr fontId="2" type="noConversion"/>
  </si>
  <si>
    <t>센터장(9호봉)</t>
    <phoneticPr fontId="2" type="noConversion"/>
  </si>
  <si>
    <t>팀장(10호봉)</t>
    <phoneticPr fontId="2" type="noConversion"/>
  </si>
  <si>
    <t>팀장(8호봉)</t>
    <phoneticPr fontId="2" type="noConversion"/>
  </si>
  <si>
    <t>팀장(12호봉)</t>
    <phoneticPr fontId="2" type="noConversion"/>
  </si>
  <si>
    <t>팀원(8호봉)</t>
    <phoneticPr fontId="2" type="noConversion"/>
  </si>
  <si>
    <t>팀원(7호봉)</t>
    <phoneticPr fontId="2" type="noConversion"/>
  </si>
  <si>
    <t>팀원(10호봉)</t>
    <phoneticPr fontId="2" type="noConversion"/>
  </si>
  <si>
    <t>팀원(5호봉)</t>
    <phoneticPr fontId="2" type="noConversion"/>
  </si>
  <si>
    <t>팀원(4호봉)</t>
    <phoneticPr fontId="2" type="noConversion"/>
  </si>
  <si>
    <t>팀원(4호봉)</t>
    <phoneticPr fontId="2" type="noConversion"/>
  </si>
  <si>
    <t>팀원(3호봉)</t>
    <phoneticPr fontId="2" type="noConversion"/>
  </si>
  <si>
    <t>팀원(2호봉)</t>
    <phoneticPr fontId="2" type="noConversion"/>
  </si>
  <si>
    <t>팀원(1호봉)</t>
    <phoneticPr fontId="2" type="noConversion"/>
  </si>
  <si>
    <t>팀원(5호봉)</t>
    <phoneticPr fontId="2" type="noConversion"/>
  </si>
  <si>
    <t>x</t>
    <phoneticPr fontId="2" type="noConversion"/>
  </si>
  <si>
    <t xml:space="preserve"> - 수당3</t>
    <phoneticPr fontId="2" type="noConversion"/>
  </si>
  <si>
    <t xml:space="preserve"> - 수당4</t>
    <phoneticPr fontId="2" type="noConversion"/>
  </si>
  <si>
    <t xml:space="preserve"> - 퇴직적립금</t>
    <phoneticPr fontId="2" type="noConversion"/>
  </si>
  <si>
    <t>- 봉사단 정기총회</t>
    <phoneticPr fontId="2" type="noConversion"/>
  </si>
  <si>
    <t>- 취약계층다문화조손가정네트워크구축</t>
    <phoneticPr fontId="2" type="noConversion"/>
  </si>
  <si>
    <t>역량수퍼비전운영</t>
    <phoneticPr fontId="2" type="noConversion"/>
  </si>
  <si>
    <t>- 수퍼비전운영</t>
    <phoneticPr fontId="2" type="noConversion"/>
  </si>
  <si>
    <t>○ 수퍼비전운영비</t>
    <phoneticPr fontId="2" type="noConversion"/>
  </si>
  <si>
    <t>역량지지리더활동</t>
    <phoneticPr fontId="2" type="noConversion"/>
  </si>
  <si>
    <t>○ 지지리더활동</t>
    <phoneticPr fontId="2" type="noConversion"/>
  </si>
  <si>
    <t>- 지지리더활동</t>
    <phoneticPr fontId="2" type="noConversion"/>
  </si>
  <si>
    <t>- 사례회의수퍼비전</t>
    <phoneticPr fontId="2" type="noConversion"/>
  </si>
  <si>
    <t>- 전문인력양성교육</t>
    <phoneticPr fontId="2" type="noConversion"/>
  </si>
  <si>
    <t>○ 아이돌보미 교육비</t>
    <phoneticPr fontId="2" type="noConversion"/>
  </si>
  <si>
    <t xml:space="preserve"> ○ 아이돌보미외부자문료</t>
    <phoneticPr fontId="2" type="noConversion"/>
  </si>
  <si>
    <t>○ 통합프로그램운영사업</t>
    <phoneticPr fontId="2" type="noConversion"/>
  </si>
  <si>
    <t>- 특별프로그램강사비</t>
    <phoneticPr fontId="2" type="noConversion"/>
  </si>
  <si>
    <t>- 프로그램재료비</t>
    <phoneticPr fontId="2" type="noConversion"/>
  </si>
  <si>
    <t>- 사업홍보비</t>
    <phoneticPr fontId="2" type="noConversion"/>
  </si>
  <si>
    <t>통합프로그램운영</t>
    <phoneticPr fontId="2" type="noConversion"/>
  </si>
  <si>
    <t>네트워크행사비</t>
    <phoneticPr fontId="2" type="noConversion"/>
  </si>
  <si>
    <t>꿈꾸는학교</t>
    <phoneticPr fontId="2" type="noConversion"/>
  </si>
  <si>
    <t>꿈나무쉼터</t>
    <phoneticPr fontId="2" type="noConversion"/>
  </si>
  <si>
    <t>다문화돌봄</t>
    <phoneticPr fontId="2" type="noConversion"/>
  </si>
  <si>
    <t>청소년라온돌봄</t>
    <phoneticPr fontId="2" type="noConversion"/>
  </si>
  <si>
    <t>○ 네트워크행사비</t>
    <phoneticPr fontId="2" type="noConversion"/>
  </si>
  <si>
    <t>- 체험활동운영비</t>
    <phoneticPr fontId="2" type="noConversion"/>
  </si>
  <si>
    <t>- 돌봄공동체교류사업</t>
    <phoneticPr fontId="2" type="noConversion"/>
  </si>
  <si>
    <t>- 교구교재비</t>
    <phoneticPr fontId="2" type="noConversion"/>
  </si>
  <si>
    <t>○ 꿈꾸는학교</t>
    <phoneticPr fontId="2" type="noConversion"/>
  </si>
  <si>
    <t>- 프로그램운영강사비</t>
    <phoneticPr fontId="2" type="noConversion"/>
  </si>
  <si>
    <t>- 아동양육상담프로그램강사비</t>
    <phoneticPr fontId="2" type="noConversion"/>
  </si>
  <si>
    <t>- 아동양육상담프로그램재료비</t>
    <phoneticPr fontId="2" type="noConversion"/>
  </si>
  <si>
    <t>- 업무추진비</t>
    <phoneticPr fontId="2" type="noConversion"/>
  </si>
  <si>
    <t>- 사업홍보비</t>
    <phoneticPr fontId="2" type="noConversion"/>
  </si>
  <si>
    <t>- 창의보드놀이교실</t>
    <phoneticPr fontId="2" type="noConversion"/>
  </si>
  <si>
    <t>- 업사이클링</t>
    <phoneticPr fontId="2" type="noConversion"/>
  </si>
  <si>
    <t>- 온돌봄소통DAY</t>
    <phoneticPr fontId="2" type="noConversion"/>
  </si>
  <si>
    <t>- 요리교실</t>
    <phoneticPr fontId="2" type="noConversion"/>
  </si>
  <si>
    <t>- 업무추진비</t>
    <phoneticPr fontId="2" type="noConversion"/>
  </si>
  <si>
    <t>- 음악프로그램</t>
    <phoneticPr fontId="2" type="noConversion"/>
  </si>
  <si>
    <t>○ 다문화돌봄</t>
    <phoneticPr fontId="2" type="noConversion"/>
  </si>
  <si>
    <t>- 미술프로그램</t>
    <phoneticPr fontId="2" type="noConversion"/>
  </si>
  <si>
    <t>- 간식비</t>
    <phoneticPr fontId="2" type="noConversion"/>
  </si>
  <si>
    <t>- 프로그램진행비</t>
    <phoneticPr fontId="2" type="noConversion"/>
  </si>
  <si>
    <t>- 여비</t>
    <phoneticPr fontId="2" type="noConversion"/>
  </si>
  <si>
    <t>○ 꿈나무쉼터</t>
    <phoneticPr fontId="2" type="noConversion"/>
  </si>
  <si>
    <t>건강가정지원사업비</t>
    <phoneticPr fontId="2" type="noConversion"/>
  </si>
  <si>
    <t>워킹맘워킹대디지원사업</t>
    <phoneticPr fontId="2" type="noConversion"/>
  </si>
  <si>
    <t>돌봄공동체지원사업</t>
    <phoneticPr fontId="2" type="noConversion"/>
  </si>
  <si>
    <t>아이돌봄교육기관사업</t>
    <phoneticPr fontId="2" type="noConversion"/>
  </si>
  <si>
    <t>아이돌봄지원사업</t>
    <phoneticPr fontId="2" type="noConversion"/>
  </si>
  <si>
    <t>사대보험부담금</t>
    <phoneticPr fontId="2" type="noConversion"/>
  </si>
  <si>
    <t>기타후생경비</t>
    <phoneticPr fontId="2" type="noConversion"/>
  </si>
  <si>
    <t>돌봄공동체지원사업</t>
    <phoneticPr fontId="2" type="noConversion"/>
  </si>
  <si>
    <t>네트워크행사비</t>
    <phoneticPr fontId="2" type="noConversion"/>
  </si>
  <si>
    <t>꿈꾸는학교</t>
    <phoneticPr fontId="2" type="noConversion"/>
  </si>
  <si>
    <t>꿈나무쉼터사업</t>
    <phoneticPr fontId="2" type="noConversion"/>
  </si>
  <si>
    <t>다문화돌봄사업</t>
    <phoneticPr fontId="2" type="noConversion"/>
  </si>
  <si>
    <t>청소년라온돌봄사업</t>
    <phoneticPr fontId="2" type="noConversion"/>
  </si>
  <si>
    <t>건강가정지원사업</t>
    <phoneticPr fontId="2" type="noConversion"/>
  </si>
  <si>
    <t>▶아이돌봄지원사업 사업실비 증가</t>
    <phoneticPr fontId="2" type="noConversion"/>
  </si>
  <si>
    <t>▶초등돌봄교실, 돌봄공동체사업에 따른 사업비 증가</t>
    <phoneticPr fontId="2" type="noConversion"/>
  </si>
  <si>
    <t>행정인력(1호봉)</t>
    <phoneticPr fontId="2" type="noConversion"/>
  </si>
  <si>
    <t>수퍼비전운영</t>
    <phoneticPr fontId="2" type="noConversion"/>
  </si>
  <si>
    <t>지지리더활동</t>
    <phoneticPr fontId="2" type="noConversion"/>
  </si>
  <si>
    <t>2021년 예산총칙</t>
    <phoneticPr fontId="2" type="noConversion"/>
  </si>
  <si>
    <t>2021년 예산 세입·세출 총괄표</t>
    <phoneticPr fontId="2" type="noConversion"/>
  </si>
  <si>
    <t>1. 2021년 세입예산서</t>
    <phoneticPr fontId="2" type="noConversion"/>
  </si>
  <si>
    <t>2. 2021년 세출예산서</t>
    <phoneticPr fontId="2" type="noConversion"/>
  </si>
  <si>
    <t>▶초등돌봄교실, 돌봄공동체사업 추가 운영</t>
    <phoneticPr fontId="2" type="noConversion"/>
  </si>
  <si>
    <t>▶초등돌봄교실, 돌봄공동체사업 추가운영에 따른 인건비 증가</t>
    <phoneticPr fontId="2" type="noConversion"/>
  </si>
  <si>
    <t>▶돌봄교실 추가운영에 따른 사무비품 구입 및 장난감 구입</t>
    <phoneticPr fontId="2" type="noConversion"/>
  </si>
  <si>
    <t>팀장(10호봉)</t>
    <phoneticPr fontId="2" type="noConversion"/>
  </si>
  <si>
    <t>팀장(12호봉)</t>
    <phoneticPr fontId="2" type="noConversion"/>
  </si>
  <si>
    <t>팀원(2호봉)</t>
    <phoneticPr fontId="2" type="noConversion"/>
  </si>
  <si>
    <t>팀원(4호봉)</t>
    <phoneticPr fontId="2" type="noConversion"/>
  </si>
  <si>
    <t>팀원(1호봉)</t>
    <phoneticPr fontId="2" type="noConversion"/>
  </si>
  <si>
    <t>팀원(3호봉)</t>
    <phoneticPr fontId="2" type="noConversion"/>
  </si>
  <si>
    <t>팀원(9호봉)</t>
    <phoneticPr fontId="2" type="noConversion"/>
  </si>
  <si>
    <t>팀원(5호봉)</t>
    <phoneticPr fontId="2" type="noConversion"/>
  </si>
  <si>
    <t>팀원(4호봉)</t>
    <phoneticPr fontId="2" type="noConversion"/>
  </si>
  <si>
    <t>팀원(2호봉)</t>
    <phoneticPr fontId="2" type="noConversion"/>
  </si>
  <si>
    <t>팀원(6호봉)</t>
    <phoneticPr fontId="2" type="noConversion"/>
  </si>
  <si>
    <t>팀원(3호봉)</t>
    <phoneticPr fontId="2" type="noConversion"/>
  </si>
  <si>
    <t>취약계층다문화조손가정을 위한 네트워크 구축</t>
    <phoneticPr fontId="2" type="noConversion"/>
  </si>
  <si>
    <t>- 세대공감희망나누기</t>
    <phoneticPr fontId="2" type="noConversion"/>
  </si>
  <si>
    <t>○ 취약계층다문화조손가정네트워크구축</t>
    <phoneticPr fontId="2" type="noConversion"/>
  </si>
  <si>
    <t>취약계층다문화조손가정네트워크구축</t>
    <phoneticPr fontId="2" type="noConversion"/>
  </si>
  <si>
    <t>맞벌이부부 및 한부모가정가사지원서비스</t>
    <phoneticPr fontId="2" type="noConversion"/>
  </si>
  <si>
    <t>맞벌이부부및한부모가정가사지원서비스</t>
    <phoneticPr fontId="2" type="noConversion"/>
  </si>
  <si>
    <t>○ 맞벌이부부및한부모가정가사지원서비스</t>
    <phoneticPr fontId="2" type="noConversion"/>
  </si>
  <si>
    <t>- 맞벌이부부및한부모가정가사지원</t>
    <phoneticPr fontId="2" type="noConversion"/>
  </si>
  <si>
    <t>취약계층
다문화조손가정을위한네트워크구축</t>
    <phoneticPr fontId="2" type="noConversion"/>
  </si>
  <si>
    <t>맞벌이부부및한부모가정가사지원서비스</t>
    <phoneticPr fontId="2" type="noConversion"/>
  </si>
  <si>
    <t>맞벌이부부및한부모가정가사지원서비스</t>
    <phoneticPr fontId="2" type="noConversion"/>
  </si>
  <si>
    <t>사업비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</si>
</sst>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2" formatCode="_-&quot;₩&quot;* #,##0_-;\-&quot;₩&quot;* #,##0_-;_-&quot;₩&quot;* &quot;-&quot;_-;_-@_-"/>
    <numFmt numFmtId="41" formatCode="_-* #,##0_-;\-* #,##0_-;_-* &quot;-&quot;_-;_-@_-"/>
    <numFmt numFmtId="176" formatCode="##&quot;명&quot;"/>
    <numFmt numFmtId="177" formatCode="###&quot;월&quot;"/>
    <numFmt numFmtId="178" formatCode="###&quot;일&quot;"/>
    <numFmt numFmtId="179" formatCode="0.0%"/>
    <numFmt numFmtId="180" formatCode="###&quot;회&quot;"/>
    <numFmt numFmtId="181" formatCode="##&quot;월&quot;"/>
    <numFmt numFmtId="182" formatCode="###&quot;건&quot;"/>
    <numFmt numFmtId="183" formatCode="##&quot;회&quot;"/>
    <numFmt numFmtId="184" formatCode="#,###&quot;회&quot;"/>
    <numFmt numFmtId="185" formatCode="###&quot;명&quot;"/>
    <numFmt numFmtId="186" formatCode="##&quot;주&quot;"/>
    <numFmt numFmtId="187" formatCode="#,##0_ "/>
    <numFmt numFmtId="188" formatCode="0.000%"/>
    <numFmt numFmtId="189" formatCode="##&quot;시간&quot;"/>
    <numFmt numFmtId="190" formatCode="##&quot;팀&quot;"/>
    <numFmt numFmtId="191" formatCode="###&quot;년&quot;"/>
    <numFmt numFmtId="192" formatCode="##&quot;년&quot;"/>
    <numFmt numFmtId="193" formatCode="#,###&quot;원&quot;"/>
    <numFmt numFmtId="194" formatCode="##,###&quot;원&quot;"/>
    <numFmt numFmtId="195" formatCode="_-* #,##0_-;\△* #,##0_-;_-* &quot;-&quot;_-;_-@_-"/>
    <numFmt numFmtId="196" formatCode="_-* #,##0%_-;\△* #,##0%_-;_-* &quot;-&quot;_-;_-@_-"/>
    <numFmt numFmtId="197" formatCode="#\ ???/???"/>
    <numFmt numFmtId="198" formatCode="#,##0;\△#,##0"/>
    <numFmt numFmtId="199" formatCode="#,##0_);[Red]\(#,##0\)"/>
    <numFmt numFmtId="200" formatCode="0_);[Red]\(0\)"/>
    <numFmt numFmtId="201" formatCode="[DBNum4][$-412]General&quot;원&quot;"/>
    <numFmt numFmtId="202" formatCode="_-* #,##0.0%_-;\△* #,##0.0%_-;_-* &quot;-&quot;_-;_-@_-"/>
    <numFmt numFmtId="203" formatCode="###&quot;개소&quot;"/>
    <numFmt numFmtId="204" formatCode="###&quot;가족&quot;"/>
  </numFmts>
  <fonts count="5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b/>
      <sz val="16"/>
      <name val="굴림"/>
      <family val="3"/>
      <charset val="129"/>
    </font>
    <font>
      <b/>
      <sz val="9"/>
      <name val="굴림"/>
      <family val="3"/>
      <charset val="129"/>
    </font>
    <font>
      <b/>
      <sz val="14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sz val="14"/>
      <color indexed="8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  <scheme val="major"/>
    </font>
    <font>
      <sz val="14"/>
      <color indexed="8"/>
      <name val="맑은 고딕"/>
      <family val="3"/>
      <charset val="128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indexed="8"/>
      <name val="맑은 고딕"/>
      <family val="3"/>
      <charset val="128"/>
      <scheme val="major"/>
    </font>
    <font>
      <b/>
      <sz val="25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9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8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  <scheme val="major"/>
    </font>
    <font>
      <b/>
      <sz val="14"/>
      <color rgb="FF0000FF"/>
      <name val="맑은 고딕"/>
      <family val="3"/>
      <charset val="129"/>
      <scheme val="major"/>
    </font>
    <font>
      <sz val="11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24"/>
      <color rgb="FF000000"/>
      <name val="굴림체"/>
      <family val="3"/>
      <charset val="129"/>
    </font>
    <font>
      <sz val="35"/>
      <color rgb="FF000000"/>
      <name val="HY헤드라인M"/>
      <family val="1"/>
      <charset val="129"/>
    </font>
    <font>
      <sz val="28"/>
      <color rgb="FF000000"/>
      <name val="HY헤드라인M"/>
      <family val="1"/>
      <charset val="129"/>
    </font>
    <font>
      <sz val="36"/>
      <color rgb="FF000000"/>
      <name val="굴림체"/>
      <family val="3"/>
      <charset val="129"/>
    </font>
    <font>
      <sz val="36"/>
      <name val="굴림체"/>
      <family val="3"/>
      <charset val="129"/>
    </font>
    <font>
      <sz val="36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indexed="64"/>
      </left>
      <right style="hair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/>
      <top style="medium">
        <color indexed="64"/>
      </top>
      <bottom style="hair">
        <color indexed="64"/>
      </bottom>
      <diagonal/>
    </border>
    <border>
      <left/>
      <right style="hair">
        <color rgb="FF000000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indexed="64"/>
      </bottom>
      <diagonal/>
    </border>
    <border>
      <left/>
      <right style="hair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 diagonalUp="1">
      <left style="medium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833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41" fontId="8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/>
    </xf>
    <xf numFmtId="41" fontId="10" fillId="0" borderId="3" xfId="2" applyFont="1" applyBorder="1" applyAlignment="1">
      <alignment horizontal="left" vertical="center"/>
    </xf>
    <xf numFmtId="41" fontId="10" fillId="0" borderId="4" xfId="2" applyFont="1" applyBorder="1" applyAlignment="1">
      <alignment horizontal="center" vertical="center"/>
    </xf>
    <xf numFmtId="41" fontId="10" fillId="0" borderId="4" xfId="2" applyFont="1" applyBorder="1" applyAlignment="1">
      <alignment horizontal="right" vertical="center"/>
    </xf>
    <xf numFmtId="41" fontId="10" fillId="0" borderId="0" xfId="2" applyFont="1" applyBorder="1" applyAlignment="1">
      <alignment horizontal="center" vertical="center"/>
    </xf>
    <xf numFmtId="176" fontId="10" fillId="0" borderId="0" xfId="2" applyNumberFormat="1" applyFont="1" applyBorder="1" applyAlignment="1">
      <alignment horizontal="right" vertical="center"/>
    </xf>
    <xf numFmtId="177" fontId="10" fillId="0" borderId="0" xfId="2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41" fontId="10" fillId="0" borderId="0" xfId="2" applyFont="1" applyBorder="1" applyAlignment="1">
      <alignment horizontal="right" vertical="center"/>
    </xf>
    <xf numFmtId="178" fontId="10" fillId="0" borderId="0" xfId="2" applyNumberFormat="1" applyFont="1" applyBorder="1" applyAlignment="1">
      <alignment horizontal="right" vertical="center"/>
    </xf>
    <xf numFmtId="41" fontId="10" fillId="0" borderId="2" xfId="2" applyFont="1" applyBorder="1" applyAlignment="1">
      <alignment horizontal="center" vertical="center"/>
    </xf>
    <xf numFmtId="176" fontId="10" fillId="0" borderId="2" xfId="2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9" fontId="10" fillId="0" borderId="0" xfId="2" applyNumberFormat="1" applyFont="1" applyBorder="1" applyAlignment="1">
      <alignment horizontal="right" vertical="center"/>
    </xf>
    <xf numFmtId="41" fontId="10" fillId="0" borderId="5" xfId="2" applyFont="1" applyBorder="1" applyAlignment="1">
      <alignment horizontal="left" vertical="center"/>
    </xf>
    <xf numFmtId="9" fontId="10" fillId="0" borderId="2" xfId="2" applyNumberFormat="1" applyFont="1" applyBorder="1" applyAlignment="1">
      <alignment horizontal="right" vertical="center"/>
    </xf>
    <xf numFmtId="177" fontId="10" fillId="0" borderId="2" xfId="2" applyNumberFormat="1" applyFont="1" applyBorder="1" applyAlignment="1">
      <alignment horizontal="right" vertical="center"/>
    </xf>
    <xf numFmtId="41" fontId="10" fillId="0" borderId="2" xfId="2" applyFont="1" applyBorder="1" applyAlignment="1">
      <alignment horizontal="right" vertical="center"/>
    </xf>
    <xf numFmtId="41" fontId="10" fillId="0" borderId="2" xfId="2" applyNumberFormat="1" applyFont="1" applyBorder="1" applyAlignment="1">
      <alignment horizontal="right" vertical="center"/>
    </xf>
    <xf numFmtId="176" fontId="10" fillId="0" borderId="4" xfId="2" applyNumberFormat="1" applyFont="1" applyBorder="1" applyAlignment="1">
      <alignment horizontal="right" vertical="center"/>
    </xf>
    <xf numFmtId="9" fontId="10" fillId="0" borderId="4" xfId="2" applyNumberFormat="1" applyFont="1" applyBorder="1" applyAlignment="1">
      <alignment horizontal="right" vertical="center"/>
    </xf>
    <xf numFmtId="177" fontId="10" fillId="0" borderId="4" xfId="2" applyNumberFormat="1" applyFont="1" applyBorder="1" applyAlignment="1">
      <alignment horizontal="right" vertical="center"/>
    </xf>
    <xf numFmtId="179" fontId="10" fillId="0" borderId="0" xfId="2" applyNumberFormat="1" applyFont="1" applyBorder="1" applyAlignment="1">
      <alignment horizontal="right" vertical="center"/>
    </xf>
    <xf numFmtId="178" fontId="10" fillId="0" borderId="2" xfId="2" applyNumberFormat="1" applyFont="1" applyBorder="1" applyAlignment="1">
      <alignment horizontal="right" vertical="center"/>
    </xf>
    <xf numFmtId="41" fontId="10" fillId="0" borderId="0" xfId="2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>
      <alignment horizontal="right" vertical="center"/>
    </xf>
    <xf numFmtId="178" fontId="10" fillId="0" borderId="0" xfId="2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177" fontId="10" fillId="0" borderId="0" xfId="2" applyNumberFormat="1" applyFont="1" applyFill="1" applyBorder="1" applyAlignment="1">
      <alignment horizontal="right" vertical="center"/>
    </xf>
    <xf numFmtId="41" fontId="10" fillId="0" borderId="5" xfId="2" applyFont="1" applyFill="1" applyBorder="1" applyAlignment="1">
      <alignment horizontal="left" vertical="center"/>
    </xf>
    <xf numFmtId="179" fontId="10" fillId="0" borderId="0" xfId="2" applyNumberFormat="1" applyFont="1" applyFill="1" applyBorder="1" applyAlignment="1">
      <alignment horizontal="right" vertical="center"/>
    </xf>
    <xf numFmtId="0" fontId="10" fillId="0" borderId="5" xfId="2" applyNumberFormat="1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41" fontId="10" fillId="0" borderId="3" xfId="2" applyFont="1" applyFill="1" applyBorder="1" applyAlignment="1">
      <alignment horizontal="left" vertical="center"/>
    </xf>
    <xf numFmtId="41" fontId="10" fillId="0" borderId="4" xfId="2" applyFont="1" applyFill="1" applyBorder="1" applyAlignment="1">
      <alignment horizontal="center" vertical="center"/>
    </xf>
    <xf numFmtId="176" fontId="10" fillId="0" borderId="4" xfId="2" applyNumberFormat="1" applyFont="1" applyFill="1" applyBorder="1" applyAlignment="1">
      <alignment horizontal="right" vertical="center"/>
    </xf>
    <xf numFmtId="179" fontId="10" fillId="0" borderId="4" xfId="2" applyNumberFormat="1" applyFont="1" applyFill="1" applyBorder="1" applyAlignment="1">
      <alignment horizontal="right" vertical="center"/>
    </xf>
    <xf numFmtId="178" fontId="10" fillId="0" borderId="4" xfId="2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187" fontId="10" fillId="0" borderId="4" xfId="2" applyNumberFormat="1" applyFont="1" applyFill="1" applyBorder="1" applyAlignment="1">
      <alignment horizontal="right" vertical="center"/>
    </xf>
    <xf numFmtId="187" fontId="10" fillId="0" borderId="0" xfId="2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11" fillId="0" borderId="0" xfId="0" applyNumberFormat="1" applyFont="1">
      <alignment vertical="center"/>
    </xf>
    <xf numFmtId="0" fontId="10" fillId="0" borderId="5" xfId="2" applyNumberFormat="1" applyFont="1" applyBorder="1" applyAlignment="1">
      <alignment horizontal="left" vertical="center" indent="1"/>
    </xf>
    <xf numFmtId="0" fontId="10" fillId="0" borderId="6" xfId="2" applyNumberFormat="1" applyFont="1" applyBorder="1" applyAlignment="1">
      <alignment horizontal="left" vertical="center" indent="1"/>
    </xf>
    <xf numFmtId="0" fontId="3" fillId="0" borderId="0" xfId="0" applyFont="1" applyFill="1" applyAlignment="1">
      <alignment vertical="center"/>
    </xf>
    <xf numFmtId="41" fontId="6" fillId="0" borderId="0" xfId="0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41" fontId="10" fillId="0" borderId="6" xfId="2" applyFont="1" applyBorder="1" applyAlignment="1">
      <alignment horizontal="left" vertical="center" indent="1"/>
    </xf>
    <xf numFmtId="41" fontId="10" fillId="0" borderId="2" xfId="2" applyNumberFormat="1" applyFont="1" applyBorder="1" applyAlignment="1">
      <alignment horizontal="left" vertical="center"/>
    </xf>
    <xf numFmtId="188" fontId="10" fillId="0" borderId="0" xfId="2" applyNumberFormat="1" applyFont="1" applyBorder="1" applyAlignment="1">
      <alignment horizontal="right" vertical="center"/>
    </xf>
    <xf numFmtId="10" fontId="10" fillId="0" borderId="2" xfId="2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10" fillId="0" borderId="8" xfId="2" applyFont="1" applyFill="1" applyBorder="1" applyAlignment="1">
      <alignment horizontal="center" vertical="center"/>
    </xf>
    <xf numFmtId="41" fontId="10" fillId="0" borderId="9" xfId="2" applyFont="1" applyFill="1" applyBorder="1" applyAlignment="1">
      <alignment horizontal="center" vertical="center"/>
    </xf>
    <xf numFmtId="182" fontId="10" fillId="0" borderId="0" xfId="2" applyNumberFormat="1" applyFont="1" applyFill="1" applyBorder="1" applyAlignment="1">
      <alignment horizontal="right" vertical="center"/>
    </xf>
    <xf numFmtId="9" fontId="10" fillId="0" borderId="0" xfId="2" applyNumberFormat="1" applyFont="1" applyFill="1" applyBorder="1" applyAlignment="1">
      <alignment horizontal="right" vertical="center"/>
    </xf>
    <xf numFmtId="0" fontId="10" fillId="0" borderId="10" xfId="2" applyNumberFormat="1" applyFont="1" applyFill="1" applyBorder="1" applyAlignment="1">
      <alignment horizontal="left" vertical="center"/>
    </xf>
    <xf numFmtId="41" fontId="10" fillId="0" borderId="11" xfId="2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78" fontId="10" fillId="0" borderId="11" xfId="2" applyNumberFormat="1" applyFont="1" applyFill="1" applyBorder="1" applyAlignment="1">
      <alignment horizontal="right" vertical="center"/>
    </xf>
    <xf numFmtId="41" fontId="10" fillId="0" borderId="12" xfId="2" applyFont="1" applyFill="1" applyBorder="1" applyAlignment="1">
      <alignment horizontal="center" vertical="center"/>
    </xf>
    <xf numFmtId="41" fontId="10" fillId="0" borderId="9" xfId="2" applyFont="1" applyBorder="1" applyAlignment="1">
      <alignment horizontal="center" vertical="center"/>
    </xf>
    <xf numFmtId="41" fontId="10" fillId="0" borderId="11" xfId="2" applyFont="1" applyBorder="1" applyAlignment="1">
      <alignment horizontal="center" vertical="center"/>
    </xf>
    <xf numFmtId="41" fontId="10" fillId="0" borderId="12" xfId="2" applyFont="1" applyBorder="1" applyAlignment="1">
      <alignment horizontal="center" vertical="center"/>
    </xf>
    <xf numFmtId="177" fontId="10" fillId="0" borderId="11" xfId="2" applyNumberFormat="1" applyFont="1" applyBorder="1" applyAlignment="1">
      <alignment horizontal="right" vertical="center"/>
    </xf>
    <xf numFmtId="176" fontId="10" fillId="0" borderId="11" xfId="2" applyNumberFormat="1" applyFont="1" applyBorder="1" applyAlignment="1">
      <alignment horizontal="right" vertical="center"/>
    </xf>
    <xf numFmtId="9" fontId="10" fillId="0" borderId="11" xfId="2" applyNumberFormat="1" applyFont="1" applyBorder="1" applyAlignment="1">
      <alignment horizontal="right" vertical="center"/>
    </xf>
    <xf numFmtId="41" fontId="10" fillId="0" borderId="13" xfId="2" applyFont="1" applyBorder="1" applyAlignment="1">
      <alignment horizontal="center" vertical="center"/>
    </xf>
    <xf numFmtId="41" fontId="10" fillId="0" borderId="8" xfId="2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0" fillId="0" borderId="10" xfId="2" applyNumberFormat="1" applyFont="1" applyBorder="1" applyAlignment="1">
      <alignment horizontal="left" vertical="center" indent="1"/>
    </xf>
    <xf numFmtId="176" fontId="10" fillId="0" borderId="11" xfId="2" applyNumberFormat="1" applyFont="1" applyFill="1" applyBorder="1" applyAlignment="1">
      <alignment horizontal="right" vertical="center"/>
    </xf>
    <xf numFmtId="179" fontId="10" fillId="0" borderId="11" xfId="2" applyNumberFormat="1" applyFont="1" applyFill="1" applyBorder="1" applyAlignment="1">
      <alignment horizontal="right" vertical="center"/>
    </xf>
    <xf numFmtId="42" fontId="10" fillId="0" borderId="11" xfId="2" applyNumberFormat="1" applyFont="1" applyFill="1" applyBorder="1" applyAlignment="1">
      <alignment horizontal="right" vertical="center"/>
    </xf>
    <xf numFmtId="0" fontId="15" fillId="0" borderId="0" xfId="4" applyFont="1">
      <alignment vertical="center"/>
    </xf>
    <xf numFmtId="0" fontId="15" fillId="0" borderId="0" xfId="0" applyFont="1" applyAlignment="1"/>
    <xf numFmtId="0" fontId="17" fillId="0" borderId="0" xfId="0" applyFont="1" applyAlignment="1"/>
    <xf numFmtId="0" fontId="18" fillId="0" borderId="0" xfId="4" applyFont="1" applyAlignment="1">
      <alignment horizontal="justify" vertical="center"/>
    </xf>
    <xf numFmtId="41" fontId="18" fillId="0" borderId="0" xfId="5" applyFont="1" applyAlignment="1">
      <alignment horizontal="justify" vertical="center"/>
    </xf>
    <xf numFmtId="0" fontId="20" fillId="0" borderId="0" xfId="4" applyFont="1">
      <alignment vertical="center"/>
    </xf>
    <xf numFmtId="198" fontId="20" fillId="0" borderId="0" xfId="5" applyNumberFormat="1" applyFont="1" applyAlignment="1">
      <alignment horizontal="right"/>
    </xf>
    <xf numFmtId="0" fontId="16" fillId="0" borderId="0" xfId="0" applyFont="1" applyAlignment="1"/>
    <xf numFmtId="0" fontId="18" fillId="0" borderId="87" xfId="4" applyFont="1" applyBorder="1" applyAlignment="1">
      <alignment horizontal="center" vertical="center" wrapText="1"/>
    </xf>
    <xf numFmtId="0" fontId="18" fillId="0" borderId="88" xfId="4" applyFont="1" applyBorder="1" applyAlignment="1">
      <alignment horizontal="center" vertical="center" wrapText="1"/>
    </xf>
    <xf numFmtId="198" fontId="18" fillId="0" borderId="74" xfId="5" applyNumberFormat="1" applyFont="1" applyBorder="1" applyAlignment="1">
      <alignment horizontal="center" vertical="center" wrapText="1"/>
    </xf>
    <xf numFmtId="0" fontId="18" fillId="0" borderId="89" xfId="4" applyFont="1" applyBorder="1" applyAlignment="1">
      <alignment horizontal="center" vertical="center" wrapText="1"/>
    </xf>
    <xf numFmtId="41" fontId="18" fillId="0" borderId="18" xfId="5" applyFont="1" applyBorder="1" applyAlignment="1">
      <alignment horizontal="right" vertical="center" wrapText="1" indent="1"/>
    </xf>
    <xf numFmtId="198" fontId="18" fillId="0" borderId="18" xfId="5" applyNumberFormat="1" applyFont="1" applyBorder="1" applyAlignment="1">
      <alignment horizontal="right" vertical="center" wrapText="1" indent="1"/>
    </xf>
    <xf numFmtId="0" fontId="18" fillId="0" borderId="95" xfId="4" applyFont="1" applyBorder="1" applyAlignment="1">
      <alignment horizontal="center" vertical="center" wrapText="1"/>
    </xf>
    <xf numFmtId="41" fontId="18" fillId="0" borderId="92" xfId="5" quotePrefix="1" applyFont="1" applyBorder="1" applyAlignment="1">
      <alignment horizontal="right" vertical="center" wrapText="1" indent="1"/>
    </xf>
    <xf numFmtId="198" fontId="18" fillId="0" borderId="92" xfId="5" applyNumberFormat="1" applyFont="1" applyBorder="1" applyAlignment="1">
      <alignment horizontal="right" vertical="center" wrapText="1" indent="1"/>
    </xf>
    <xf numFmtId="41" fontId="18" fillId="0" borderId="0" xfId="5" applyFont="1" applyBorder="1" applyAlignment="1">
      <alignment horizontal="right" vertical="center" wrapText="1"/>
    </xf>
    <xf numFmtId="198" fontId="18" fillId="0" borderId="0" xfId="5" applyNumberFormat="1" applyFont="1" applyBorder="1" applyAlignment="1">
      <alignment horizontal="right" vertical="center" wrapText="1"/>
    </xf>
    <xf numFmtId="0" fontId="20" fillId="0" borderId="0" xfId="4" applyFont="1" applyBorder="1">
      <alignment vertical="center"/>
    </xf>
    <xf numFmtId="0" fontId="18" fillId="0" borderId="86" xfId="4" applyFont="1" applyBorder="1" applyAlignment="1">
      <alignment horizontal="center" vertical="center" wrapText="1"/>
    </xf>
    <xf numFmtId="198" fontId="18" fillId="0" borderId="45" xfId="5" applyNumberFormat="1" applyFont="1" applyBorder="1" applyAlignment="1">
      <alignment horizontal="center" vertical="center" wrapText="1"/>
    </xf>
    <xf numFmtId="198" fontId="18" fillId="0" borderId="93" xfId="5" applyNumberFormat="1" applyFont="1" applyBorder="1" applyAlignment="1">
      <alignment horizontal="center" vertical="center" wrapText="1"/>
    </xf>
    <xf numFmtId="0" fontId="18" fillId="0" borderId="91" xfId="4" applyFont="1" applyBorder="1" applyAlignment="1">
      <alignment horizontal="center" vertical="center" wrapText="1"/>
    </xf>
    <xf numFmtId="41" fontId="18" fillId="0" borderId="35" xfId="5" applyFont="1" applyBorder="1" applyAlignment="1">
      <alignment horizontal="right" vertical="center" wrapText="1" indent="1"/>
    </xf>
    <xf numFmtId="198" fontId="23" fillId="0" borderId="85" xfId="5" applyNumberFormat="1" applyFont="1" applyBorder="1" applyAlignment="1">
      <alignment horizontal="left" vertical="center" wrapText="1"/>
    </xf>
    <xf numFmtId="41" fontId="20" fillId="0" borderId="0" xfId="4" applyNumberFormat="1" applyFont="1">
      <alignment vertical="center"/>
    </xf>
    <xf numFmtId="199" fontId="18" fillId="0" borderId="92" xfId="5" applyNumberFormat="1" applyFont="1" applyBorder="1" applyAlignment="1">
      <alignment horizontal="right" vertical="center" wrapText="1" indent="1"/>
    </xf>
    <xf numFmtId="0" fontId="24" fillId="0" borderId="0" xfId="4" applyFont="1">
      <alignment vertical="center"/>
    </xf>
    <xf numFmtId="0" fontId="25" fillId="0" borderId="0" xfId="4" applyFont="1" applyAlignment="1">
      <alignment vertical="center"/>
    </xf>
    <xf numFmtId="41" fontId="23" fillId="0" borderId="0" xfId="5" applyFont="1" applyAlignment="1">
      <alignment vertical="center"/>
    </xf>
    <xf numFmtId="0" fontId="23" fillId="0" borderId="0" xfId="4" applyFont="1" applyAlignment="1">
      <alignment vertical="center"/>
    </xf>
    <xf numFmtId="0" fontId="21" fillId="7" borderId="90" xfId="4" applyFont="1" applyFill="1" applyBorder="1" applyAlignment="1">
      <alignment horizontal="center" vertical="center" wrapText="1"/>
    </xf>
    <xf numFmtId="41" fontId="21" fillId="7" borderId="36" xfId="5" applyFont="1" applyFill="1" applyBorder="1" applyAlignment="1">
      <alignment horizontal="right" vertical="center" wrapText="1" indent="1"/>
    </xf>
    <xf numFmtId="198" fontId="21" fillId="7" borderId="36" xfId="5" applyNumberFormat="1" applyFont="1" applyFill="1" applyBorder="1" applyAlignment="1">
      <alignment horizontal="right" vertical="center" wrapText="1" indent="1"/>
    </xf>
    <xf numFmtId="198" fontId="21" fillId="7" borderId="96" xfId="5" applyNumberFormat="1" applyFont="1" applyFill="1" applyBorder="1" applyAlignment="1">
      <alignment horizontal="right" vertical="center" wrapText="1" indent="1"/>
    </xf>
    <xf numFmtId="0" fontId="21" fillId="7" borderId="86" xfId="4" applyFont="1" applyFill="1" applyBorder="1" applyAlignment="1">
      <alignment horizontal="center" vertical="center" wrapText="1"/>
    </xf>
    <xf numFmtId="41" fontId="21" fillId="7" borderId="45" xfId="4" applyNumberFormat="1" applyFont="1" applyFill="1" applyBorder="1" applyAlignment="1">
      <alignment horizontal="right" vertical="center" wrapText="1" indent="1"/>
    </xf>
    <xf numFmtId="198" fontId="21" fillId="7" borderId="46" xfId="5" applyNumberFormat="1" applyFont="1" applyFill="1" applyBorder="1" applyAlignment="1">
      <alignment horizontal="right" vertical="center" wrapText="1" indent="1"/>
    </xf>
    <xf numFmtId="198" fontId="21" fillId="7" borderId="41" xfId="5" applyNumberFormat="1" applyFont="1" applyFill="1" applyBorder="1" applyAlignment="1">
      <alignment horizontal="right" vertical="center" wrapText="1" inden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75" xfId="0" applyFont="1" applyFill="1" applyBorder="1" applyAlignment="1">
      <alignment horizontal="center" vertical="center" wrapText="1"/>
    </xf>
    <xf numFmtId="196" fontId="30" fillId="0" borderId="75" xfId="2" applyNumberFormat="1" applyFont="1" applyFill="1" applyBorder="1" applyAlignment="1">
      <alignment horizontal="center" vertical="center" wrapText="1"/>
    </xf>
    <xf numFmtId="196" fontId="30" fillId="0" borderId="75" xfId="2" applyNumberFormat="1" applyFont="1" applyFill="1" applyBorder="1" applyAlignment="1">
      <alignment horizontal="right" vertical="center" wrapText="1"/>
    </xf>
    <xf numFmtId="41" fontId="31" fillId="0" borderId="0" xfId="0" applyNumberFormat="1" applyFont="1">
      <alignment vertical="center"/>
    </xf>
    <xf numFmtId="0" fontId="31" fillId="0" borderId="0" xfId="0" applyFont="1">
      <alignment vertical="center"/>
    </xf>
    <xf numFmtId="196" fontId="33" fillId="0" borderId="75" xfId="2" applyNumberFormat="1" applyFont="1" applyFill="1" applyBorder="1" applyAlignment="1">
      <alignment horizontal="right" vertical="center" wrapText="1"/>
    </xf>
    <xf numFmtId="41" fontId="28" fillId="0" borderId="0" xfId="0" applyNumberFormat="1" applyFont="1">
      <alignment vertical="center"/>
    </xf>
    <xf numFmtId="196" fontId="33" fillId="0" borderId="42" xfId="2" applyNumberFormat="1" applyFont="1" applyFill="1" applyBorder="1" applyAlignment="1">
      <alignment horizontal="right" vertical="center" wrapText="1"/>
    </xf>
    <xf numFmtId="0" fontId="28" fillId="0" borderId="4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198" fontId="28" fillId="0" borderId="0" xfId="2" applyNumberFormat="1" applyFont="1">
      <alignment vertical="center"/>
    </xf>
    <xf numFmtId="202" fontId="28" fillId="0" borderId="0" xfId="2" applyNumberFormat="1" applyFont="1">
      <alignment vertical="center"/>
    </xf>
    <xf numFmtId="198" fontId="28" fillId="0" borderId="0" xfId="0" applyNumberFormat="1" applyFont="1">
      <alignment vertical="center"/>
    </xf>
    <xf numFmtId="196" fontId="28" fillId="0" borderId="0" xfId="2" applyNumberFormat="1" applyFont="1" applyFill="1" applyBorder="1">
      <alignment vertical="center"/>
    </xf>
    <xf numFmtId="0" fontId="3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49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 shrinkToFit="1"/>
    </xf>
    <xf numFmtId="0" fontId="31" fillId="0" borderId="84" xfId="0" applyFont="1" applyFill="1" applyBorder="1" applyAlignment="1">
      <alignment horizontal="center" vertical="center" wrapText="1"/>
    </xf>
    <xf numFmtId="41" fontId="30" fillId="0" borderId="44" xfId="2" applyNumberFormat="1" applyFont="1" applyFill="1" applyBorder="1" applyAlignment="1">
      <alignment horizontal="center" vertical="center" wrapText="1"/>
    </xf>
    <xf numFmtId="41" fontId="30" fillId="5" borderId="37" xfId="0" applyNumberFormat="1" applyFont="1" applyFill="1" applyBorder="1" applyAlignment="1">
      <alignment horizontal="right" vertical="center" wrapText="1"/>
    </xf>
    <xf numFmtId="198" fontId="31" fillId="5" borderId="17" xfId="2" applyNumberFormat="1" applyFont="1" applyFill="1" applyBorder="1" applyAlignment="1">
      <alignment horizontal="right" vertical="center" wrapText="1"/>
    </xf>
    <xf numFmtId="202" fontId="31" fillId="5" borderId="17" xfId="2" applyNumberFormat="1" applyFont="1" applyFill="1" applyBorder="1" applyAlignment="1">
      <alignment horizontal="right" vertical="center" wrapText="1"/>
    </xf>
    <xf numFmtId="194" fontId="28" fillId="0" borderId="0" xfId="0" applyNumberFormat="1" applyFont="1">
      <alignment vertical="center"/>
    </xf>
    <xf numFmtId="41" fontId="30" fillId="6" borderId="56" xfId="0" applyNumberFormat="1" applyFont="1" applyFill="1" applyBorder="1" applyAlignment="1">
      <alignment horizontal="right" vertical="center" wrapText="1"/>
    </xf>
    <xf numFmtId="198" fontId="30" fillId="6" borderId="56" xfId="2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0" fontId="32" fillId="0" borderId="82" xfId="0" applyFont="1" applyBorder="1" applyAlignment="1">
      <alignment vertical="center" wrapText="1"/>
    </xf>
    <xf numFmtId="0" fontId="30" fillId="4" borderId="32" xfId="0" applyFont="1" applyFill="1" applyBorder="1" applyAlignment="1">
      <alignment vertical="center" wrapText="1"/>
    </xf>
    <xf numFmtId="0" fontId="30" fillId="4" borderId="31" xfId="0" applyFont="1" applyFill="1" applyBorder="1" applyAlignment="1">
      <alignment vertical="center" wrapText="1"/>
    </xf>
    <xf numFmtId="41" fontId="30" fillId="4" borderId="30" xfId="0" applyNumberFormat="1" applyFont="1" applyFill="1" applyBorder="1" applyAlignment="1">
      <alignment horizontal="right" vertical="center" wrapText="1"/>
    </xf>
    <xf numFmtId="198" fontId="30" fillId="4" borderId="30" xfId="2" applyNumberFormat="1" applyFont="1" applyFill="1" applyBorder="1" applyAlignment="1">
      <alignment horizontal="right" vertical="center" wrapText="1"/>
    </xf>
    <xf numFmtId="3" fontId="33" fillId="4" borderId="32" xfId="0" applyNumberFormat="1" applyFont="1" applyFill="1" applyBorder="1" applyAlignment="1">
      <alignment vertical="center" wrapText="1"/>
    </xf>
    <xf numFmtId="3" fontId="33" fillId="4" borderId="27" xfId="0" applyNumberFormat="1" applyFont="1" applyFill="1" applyBorder="1" applyAlignment="1">
      <alignment vertical="center" wrapText="1"/>
    </xf>
    <xf numFmtId="3" fontId="30" fillId="4" borderId="50" xfId="0" applyNumberFormat="1" applyFont="1" applyFill="1" applyBorder="1" applyAlignment="1">
      <alignment vertical="center" wrapText="1"/>
    </xf>
    <xf numFmtId="194" fontId="36" fillId="0" borderId="0" xfId="0" applyNumberFormat="1" applyFont="1">
      <alignment vertical="center"/>
    </xf>
    <xf numFmtId="0" fontId="32" fillId="0" borderId="58" xfId="0" applyFont="1" applyBorder="1" applyAlignment="1">
      <alignment vertical="center" wrapText="1"/>
    </xf>
    <xf numFmtId="0" fontId="37" fillId="0" borderId="38" xfId="0" applyFont="1" applyBorder="1" applyAlignment="1">
      <alignment vertical="center" wrapText="1"/>
    </xf>
    <xf numFmtId="0" fontId="32" fillId="0" borderId="38" xfId="0" applyFont="1" applyBorder="1" applyAlignment="1">
      <alignment horizontal="center" vertical="center" shrinkToFit="1"/>
    </xf>
    <xf numFmtId="41" fontId="33" fillId="0" borderId="38" xfId="0" applyNumberFormat="1" applyFont="1" applyBorder="1" applyAlignment="1">
      <alignment horizontal="right" vertical="center" wrapText="1"/>
    </xf>
    <xf numFmtId="198" fontId="33" fillId="0" borderId="38" xfId="2" applyNumberFormat="1" applyFont="1" applyBorder="1" applyAlignment="1">
      <alignment horizontal="right" vertical="center" wrapText="1"/>
    </xf>
    <xf numFmtId="41" fontId="34" fillId="0" borderId="28" xfId="2" applyFont="1" applyFill="1" applyBorder="1" applyAlignment="1">
      <alignment horizontal="center" vertical="center"/>
    </xf>
    <xf numFmtId="191" fontId="34" fillId="0" borderId="28" xfId="2" applyNumberFormat="1" applyFont="1" applyFill="1" applyBorder="1" applyAlignment="1">
      <alignment horizontal="right" vertical="center"/>
    </xf>
    <xf numFmtId="41" fontId="34" fillId="0" borderId="28" xfId="2" applyFont="1" applyFill="1" applyBorder="1" applyAlignment="1">
      <alignment horizontal="right" vertical="center"/>
    </xf>
    <xf numFmtId="194" fontId="29" fillId="0" borderId="52" xfId="2" applyNumberFormat="1" applyFont="1" applyFill="1" applyBorder="1" applyAlignment="1">
      <alignment horizontal="right" vertical="center"/>
    </xf>
    <xf numFmtId="194" fontId="15" fillId="0" borderId="0" xfId="0" applyNumberFormat="1" applyFont="1">
      <alignment vertical="center"/>
    </xf>
    <xf numFmtId="0" fontId="37" fillId="0" borderId="37" xfId="0" applyFont="1" applyBorder="1" applyAlignment="1">
      <alignment vertical="center" wrapText="1"/>
    </xf>
    <xf numFmtId="0" fontId="32" fillId="0" borderId="37" xfId="0" applyFont="1" applyBorder="1" applyAlignment="1">
      <alignment horizontal="center" vertical="center" shrinkToFit="1"/>
    </xf>
    <xf numFmtId="41" fontId="33" fillId="0" borderId="37" xfId="0" applyNumberFormat="1" applyFont="1" applyBorder="1" applyAlignment="1">
      <alignment horizontal="right" vertical="center" wrapText="1"/>
    </xf>
    <xf numFmtId="198" fontId="33" fillId="0" borderId="37" xfId="2" applyNumberFormat="1" applyFont="1" applyBorder="1" applyAlignment="1">
      <alignment horizontal="right" vertical="center" wrapText="1"/>
    </xf>
    <xf numFmtId="195" fontId="38" fillId="0" borderId="83" xfId="0" applyNumberFormat="1" applyFont="1" applyBorder="1" applyAlignment="1">
      <alignment horizontal="right" vertical="center" wrapText="1"/>
    </xf>
    <xf numFmtId="193" fontId="34" fillId="0" borderId="0" xfId="2" applyNumberFormat="1" applyFont="1" applyFill="1" applyBorder="1" applyAlignment="1">
      <alignment horizontal="right" vertical="center"/>
    </xf>
    <xf numFmtId="41" fontId="34" fillId="0" borderId="0" xfId="2" applyFont="1" applyFill="1" applyBorder="1" applyAlignment="1">
      <alignment horizontal="center" vertical="center"/>
    </xf>
    <xf numFmtId="191" fontId="34" fillId="0" borderId="0" xfId="2" applyNumberFormat="1" applyFont="1" applyFill="1" applyBorder="1" applyAlignment="1">
      <alignment horizontal="right" vertical="center"/>
    </xf>
    <xf numFmtId="41" fontId="34" fillId="0" borderId="0" xfId="2" applyFont="1" applyFill="1" applyBorder="1" applyAlignment="1">
      <alignment horizontal="right" vertical="center"/>
    </xf>
    <xf numFmtId="194" fontId="34" fillId="0" borderId="9" xfId="2" applyNumberFormat="1" applyFont="1" applyFill="1" applyBorder="1" applyAlignment="1">
      <alignment horizontal="right" vertical="center"/>
    </xf>
    <xf numFmtId="0" fontId="30" fillId="4" borderId="32" xfId="0" applyFont="1" applyFill="1" applyBorder="1" applyAlignment="1">
      <alignment vertical="center"/>
    </xf>
    <xf numFmtId="0" fontId="30" fillId="4" borderId="31" xfId="0" applyFont="1" applyFill="1" applyBorder="1" applyAlignment="1">
      <alignment vertical="center"/>
    </xf>
    <xf numFmtId="3" fontId="38" fillId="4" borderId="27" xfId="0" applyNumberFormat="1" applyFont="1" applyFill="1" applyBorder="1" applyAlignment="1">
      <alignment horizontal="center" vertical="center" wrapText="1"/>
    </xf>
    <xf numFmtId="3" fontId="38" fillId="4" borderId="50" xfId="0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vertical="center" wrapText="1"/>
    </xf>
    <xf numFmtId="41" fontId="32" fillId="0" borderId="33" xfId="0" applyNumberFormat="1" applyFont="1" applyBorder="1" applyAlignment="1">
      <alignment horizontal="left" vertical="center" wrapText="1"/>
    </xf>
    <xf numFmtId="41" fontId="32" fillId="0" borderId="28" xfId="0" applyNumberFormat="1" applyFont="1" applyBorder="1" applyAlignment="1">
      <alignment horizontal="left" vertical="center" wrapText="1"/>
    </xf>
    <xf numFmtId="176" fontId="34" fillId="0" borderId="28" xfId="2" applyNumberFormat="1" applyFont="1" applyFill="1" applyBorder="1" applyAlignment="1">
      <alignment horizontal="right" vertical="center"/>
    </xf>
    <xf numFmtId="0" fontId="32" fillId="0" borderId="37" xfId="0" applyFont="1" applyBorder="1" applyAlignment="1">
      <alignment vertical="center" wrapText="1"/>
    </xf>
    <xf numFmtId="41" fontId="38" fillId="0" borderId="83" xfId="0" applyNumberFormat="1" applyFont="1" applyBorder="1" applyAlignment="1">
      <alignment horizontal="right" vertical="center" wrapText="1"/>
    </xf>
    <xf numFmtId="193" fontId="34" fillId="0" borderId="0" xfId="0" applyNumberFormat="1" applyFont="1" applyBorder="1">
      <alignment vertical="center"/>
    </xf>
    <xf numFmtId="41" fontId="28" fillId="0" borderId="0" xfId="2" applyFont="1">
      <alignment vertical="center"/>
    </xf>
    <xf numFmtId="195" fontId="38" fillId="0" borderId="83" xfId="0" applyNumberFormat="1" applyFont="1" applyFill="1" applyBorder="1" applyAlignment="1">
      <alignment horizontal="right" vertical="center" wrapText="1"/>
    </xf>
    <xf numFmtId="41" fontId="28" fillId="0" borderId="18" xfId="0" applyNumberFormat="1" applyFont="1" applyBorder="1" applyAlignment="1">
      <alignment horizontal="right" vertical="center" wrapText="1"/>
    </xf>
    <xf numFmtId="193" fontId="34" fillId="0" borderId="28" xfId="2" applyNumberFormat="1" applyFont="1" applyFill="1" applyBorder="1" applyAlignment="1">
      <alignment horizontal="right" vertical="center"/>
    </xf>
    <xf numFmtId="0" fontId="32" fillId="0" borderId="97" xfId="0" applyFont="1" applyBorder="1" applyAlignment="1">
      <alignment horizontal="center" vertical="center" shrinkToFit="1"/>
    </xf>
    <xf numFmtId="41" fontId="38" fillId="0" borderId="0" xfId="0" applyNumberFormat="1" applyFont="1" applyBorder="1" applyAlignment="1">
      <alignment horizontal="right" vertical="center" wrapText="1"/>
    </xf>
    <xf numFmtId="0" fontId="34" fillId="0" borderId="0" xfId="0" applyFont="1" applyBorder="1">
      <alignment vertical="center"/>
    </xf>
    <xf numFmtId="193" fontId="34" fillId="0" borderId="9" xfId="0" applyNumberFormat="1" applyFont="1" applyBorder="1">
      <alignment vertical="center"/>
    </xf>
    <xf numFmtId="0" fontId="32" fillId="0" borderId="109" xfId="0" applyFont="1" applyBorder="1" applyAlignment="1">
      <alignment vertical="center" wrapText="1"/>
    </xf>
    <xf numFmtId="0" fontId="32" fillId="0" borderId="110" xfId="0" applyFont="1" applyBorder="1" applyAlignment="1">
      <alignment vertical="center" wrapText="1"/>
    </xf>
    <xf numFmtId="41" fontId="33" fillId="0" borderId="110" xfId="0" applyNumberFormat="1" applyFont="1" applyBorder="1" applyAlignment="1">
      <alignment horizontal="right" vertical="center" wrapText="1"/>
    </xf>
    <xf numFmtId="41" fontId="34" fillId="0" borderId="43" xfId="2" applyFont="1" applyFill="1" applyBorder="1" applyAlignment="1">
      <alignment horizontal="center" vertical="center"/>
    </xf>
    <xf numFmtId="0" fontId="28" fillId="0" borderId="0" xfId="0" applyFont="1" applyBorder="1">
      <alignment vertical="center"/>
    </xf>
    <xf numFmtId="0" fontId="28" fillId="0" borderId="4" xfId="0" applyFont="1" applyBorder="1">
      <alignment vertical="center"/>
    </xf>
    <xf numFmtId="200" fontId="33" fillId="0" borderId="37" xfId="2" applyNumberFormat="1" applyFont="1" applyBorder="1" applyAlignment="1">
      <alignment horizontal="right" vertical="center" wrapText="1"/>
    </xf>
    <xf numFmtId="192" fontId="34" fillId="0" borderId="0" xfId="2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 shrinkToFit="1"/>
    </xf>
    <xf numFmtId="0" fontId="28" fillId="0" borderId="0" xfId="0" applyFont="1" applyAlignment="1">
      <alignment horizontal="right" vertical="center" wrapText="1" shrinkToFit="1"/>
    </xf>
    <xf numFmtId="0" fontId="28" fillId="0" borderId="0" xfId="0" applyFont="1" applyAlignment="1">
      <alignment horizontal="right" vertical="center"/>
    </xf>
    <xf numFmtId="41" fontId="28" fillId="0" borderId="0" xfId="2" applyNumberFormat="1" applyFont="1" applyAlignment="1">
      <alignment horizontal="right" vertical="center"/>
    </xf>
    <xf numFmtId="0" fontId="3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7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41" fontId="29" fillId="0" borderId="0" xfId="2" applyFont="1" applyBorder="1" applyAlignment="1">
      <alignment horizontal="right" vertical="center"/>
    </xf>
    <xf numFmtId="198" fontId="29" fillId="0" borderId="0" xfId="2" applyNumberFormat="1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41" fontId="31" fillId="0" borderId="29" xfId="2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198" fontId="31" fillId="0" borderId="29" xfId="2" applyNumberFormat="1" applyFont="1" applyFill="1" applyBorder="1" applyAlignment="1">
      <alignment horizontal="center" vertical="center" wrapText="1"/>
    </xf>
    <xf numFmtId="41" fontId="31" fillId="5" borderId="34" xfId="2" applyFont="1" applyFill="1" applyBorder="1" applyAlignment="1">
      <alignment vertical="center" wrapText="1"/>
    </xf>
    <xf numFmtId="198" fontId="31" fillId="5" borderId="40" xfId="2" applyNumberFormat="1" applyFont="1" applyFill="1" applyBorder="1" applyAlignment="1">
      <alignment horizontal="right" vertical="center" wrapText="1"/>
    </xf>
    <xf numFmtId="41" fontId="31" fillId="5" borderId="76" xfId="0" applyNumberFormat="1" applyFont="1" applyFill="1" applyBorder="1" applyAlignment="1">
      <alignment horizontal="center" vertical="center" wrapText="1"/>
    </xf>
    <xf numFmtId="0" fontId="31" fillId="5" borderId="73" xfId="0" applyFont="1" applyFill="1" applyBorder="1" applyAlignment="1">
      <alignment horizontal="center" vertical="center" wrapText="1"/>
    </xf>
    <xf numFmtId="0" fontId="31" fillId="5" borderId="77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41" fontId="31" fillId="6" borderId="35" xfId="2" applyFont="1" applyFill="1" applyBorder="1" applyAlignment="1">
      <alignment horizontal="right" vertical="center" wrapText="1"/>
    </xf>
    <xf numFmtId="198" fontId="31" fillId="6" borderId="35" xfId="2" applyNumberFormat="1" applyFont="1" applyFill="1" applyBorder="1" applyAlignment="1">
      <alignment horizontal="right" vertical="center" wrapText="1"/>
    </xf>
    <xf numFmtId="0" fontId="28" fillId="6" borderId="69" xfId="0" applyFont="1" applyFill="1" applyBorder="1" applyAlignment="1">
      <alignment horizontal="center" vertical="center"/>
    </xf>
    <xf numFmtId="0" fontId="28" fillId="6" borderId="60" xfId="0" applyFont="1" applyFill="1" applyBorder="1" applyAlignment="1">
      <alignment horizontal="center" vertical="center"/>
    </xf>
    <xf numFmtId="0" fontId="28" fillId="6" borderId="61" xfId="0" applyFont="1" applyFill="1" applyBorder="1" applyAlignment="1">
      <alignment horizontal="center" vertical="center"/>
    </xf>
    <xf numFmtId="0" fontId="28" fillId="6" borderId="0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1" fillId="0" borderId="22" xfId="0" applyFont="1" applyBorder="1" applyAlignment="1">
      <alignment vertical="center" wrapText="1"/>
    </xf>
    <xf numFmtId="41" fontId="31" fillId="4" borderId="35" xfId="2" applyFont="1" applyFill="1" applyBorder="1" applyAlignment="1">
      <alignment horizontal="right" vertical="center" wrapText="1"/>
    </xf>
    <xf numFmtId="41" fontId="31" fillId="4" borderId="35" xfId="0" applyNumberFormat="1" applyFont="1" applyFill="1" applyBorder="1" applyAlignment="1">
      <alignment horizontal="right" vertical="center" wrapText="1"/>
    </xf>
    <xf numFmtId="198" fontId="31" fillId="4" borderId="35" xfId="2" applyNumberFormat="1" applyFont="1" applyFill="1" applyBorder="1" applyAlignment="1">
      <alignment horizontal="right" vertical="center" wrapText="1"/>
    </xf>
    <xf numFmtId="0" fontId="28" fillId="4" borderId="69" xfId="0" applyFont="1" applyFill="1" applyBorder="1" applyAlignment="1">
      <alignment horizontal="center" vertical="center"/>
    </xf>
    <xf numFmtId="0" fontId="28" fillId="4" borderId="60" xfId="0" applyFont="1" applyFill="1" applyBorder="1" applyAlignment="1">
      <alignment horizontal="center" vertical="center"/>
    </xf>
    <xf numFmtId="0" fontId="28" fillId="4" borderId="61" xfId="0" applyFont="1" applyFill="1" applyBorder="1" applyAlignment="1">
      <alignment horizontal="center" vertical="center"/>
    </xf>
    <xf numFmtId="199" fontId="29" fillId="4" borderId="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23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41" fontId="31" fillId="0" borderId="18" xfId="2" applyFont="1" applyFill="1" applyBorder="1" applyAlignment="1">
      <alignment horizontal="right" vertical="center" wrapText="1"/>
    </xf>
    <xf numFmtId="41" fontId="31" fillId="0" borderId="18" xfId="0" applyNumberFormat="1" applyFont="1" applyBorder="1" applyAlignment="1">
      <alignment horizontal="right" vertical="center" wrapText="1"/>
    </xf>
    <xf numFmtId="198" fontId="31" fillId="0" borderId="18" xfId="2" applyNumberFormat="1" applyFont="1" applyBorder="1" applyAlignment="1">
      <alignment horizontal="right" vertical="center" wrapText="1"/>
    </xf>
    <xf numFmtId="49" fontId="31" fillId="0" borderId="4" xfId="2" applyNumberFormat="1" applyFont="1" applyFill="1" applyBorder="1" applyAlignment="1">
      <alignment horizontal="left" vertical="center" shrinkToFit="1"/>
    </xf>
    <xf numFmtId="41" fontId="31" fillId="0" borderId="4" xfId="2" applyFont="1" applyFill="1" applyBorder="1" applyAlignment="1">
      <alignment horizontal="center" vertical="center"/>
    </xf>
    <xf numFmtId="41" fontId="28" fillId="0" borderId="4" xfId="2" applyFont="1" applyFill="1" applyBorder="1" applyAlignment="1">
      <alignment horizontal="center" vertical="center"/>
    </xf>
    <xf numFmtId="41" fontId="28" fillId="0" borderId="4" xfId="2" applyFont="1" applyFill="1" applyBorder="1" applyAlignment="1">
      <alignment horizontal="right" vertical="center"/>
    </xf>
    <xf numFmtId="41" fontId="28" fillId="0" borderId="0" xfId="2" applyFont="1" applyFill="1" applyBorder="1" applyAlignment="1">
      <alignment horizontal="center" vertical="center"/>
    </xf>
    <xf numFmtId="194" fontId="31" fillId="0" borderId="8" xfId="2" applyNumberFormat="1" applyFont="1" applyFill="1" applyBorder="1" applyAlignment="1">
      <alignment horizontal="right" vertical="center"/>
    </xf>
    <xf numFmtId="194" fontId="31" fillId="0" borderId="0" xfId="2" applyNumberFormat="1" applyFont="1" applyFill="1" applyBorder="1" applyAlignment="1">
      <alignment horizontal="right" vertical="center"/>
    </xf>
    <xf numFmtId="201" fontId="31" fillId="0" borderId="0" xfId="0" applyNumberFormat="1" applyFont="1" applyAlignment="1">
      <alignment horizontal="right" vertical="center"/>
    </xf>
    <xf numFmtId="0" fontId="34" fillId="0" borderId="0" xfId="0" applyFont="1" applyAlignment="1">
      <alignment vertical="center"/>
    </xf>
    <xf numFmtId="0" fontId="31" fillId="0" borderId="17" xfId="0" applyFont="1" applyBorder="1" applyAlignment="1">
      <alignment vertical="center" wrapText="1"/>
    </xf>
    <xf numFmtId="41" fontId="31" fillId="0" borderId="17" xfId="2" applyFont="1" applyFill="1" applyBorder="1" applyAlignment="1">
      <alignment horizontal="right" vertical="center" wrapText="1"/>
    </xf>
    <xf numFmtId="41" fontId="31" fillId="0" borderId="17" xfId="0" applyNumberFormat="1" applyFont="1" applyBorder="1" applyAlignment="1">
      <alignment horizontal="right" vertical="center" wrapText="1"/>
    </xf>
    <xf numFmtId="198" fontId="31" fillId="0" borderId="17" xfId="2" applyNumberFormat="1" applyFont="1" applyBorder="1" applyAlignment="1">
      <alignment horizontal="right" vertical="center" wrapText="1"/>
    </xf>
    <xf numFmtId="49" fontId="28" fillId="0" borderId="0" xfId="2" applyNumberFormat="1" applyFont="1" applyFill="1" applyBorder="1" applyAlignment="1">
      <alignment horizontal="right" vertical="center" shrinkToFit="1"/>
    </xf>
    <xf numFmtId="193" fontId="28" fillId="0" borderId="0" xfId="2" applyNumberFormat="1" applyFont="1" applyFill="1" applyBorder="1" applyAlignment="1">
      <alignment horizontal="right" vertical="center"/>
    </xf>
    <xf numFmtId="176" fontId="28" fillId="0" borderId="0" xfId="2" applyNumberFormat="1" applyFont="1" applyFill="1" applyBorder="1" applyAlignment="1">
      <alignment horizontal="right" vertical="center"/>
    </xf>
    <xf numFmtId="181" fontId="28" fillId="0" borderId="0" xfId="2" applyNumberFormat="1" applyFont="1" applyFill="1" applyBorder="1" applyAlignment="1">
      <alignment horizontal="right" vertical="center"/>
    </xf>
    <xf numFmtId="41" fontId="28" fillId="0" borderId="0" xfId="2" applyFont="1" applyFill="1" applyBorder="1" applyAlignment="1">
      <alignment horizontal="right" vertical="center"/>
    </xf>
    <xf numFmtId="194" fontId="28" fillId="0" borderId="9" xfId="2" applyNumberFormat="1" applyFont="1" applyFill="1" applyBorder="1" applyAlignment="1">
      <alignment horizontal="right" vertical="center"/>
    </xf>
    <xf numFmtId="194" fontId="28" fillId="0" borderId="0" xfId="2" applyNumberFormat="1" applyFont="1" applyFill="1" applyBorder="1" applyAlignment="1">
      <alignment horizontal="right" vertical="center"/>
    </xf>
    <xf numFmtId="193" fontId="31" fillId="0" borderId="4" xfId="2" applyNumberFormat="1" applyFont="1" applyFill="1" applyBorder="1" applyAlignment="1">
      <alignment horizontal="right" vertical="center"/>
    </xf>
    <xf numFmtId="41" fontId="28" fillId="0" borderId="4" xfId="2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49" fontId="28" fillId="0" borderId="0" xfId="2" applyNumberFormat="1" applyFont="1" applyFill="1" applyBorder="1" applyAlignment="1">
      <alignment horizontal="left" vertical="center" shrinkToFit="1"/>
    </xf>
    <xf numFmtId="13" fontId="28" fillId="0" borderId="0" xfId="2" applyNumberFormat="1" applyFont="1" applyFill="1" applyBorder="1" applyAlignment="1">
      <alignment horizontal="right" vertical="center"/>
    </xf>
    <xf numFmtId="9" fontId="28" fillId="0" borderId="0" xfId="2" applyNumberFormat="1" applyFont="1" applyFill="1" applyBorder="1" applyAlignment="1">
      <alignment horizontal="right" vertical="center"/>
    </xf>
    <xf numFmtId="180" fontId="28" fillId="0" borderId="0" xfId="2" applyNumberFormat="1" applyFont="1" applyFill="1" applyBorder="1" applyAlignment="1">
      <alignment horizontal="right" vertical="center"/>
    </xf>
    <xf numFmtId="49" fontId="28" fillId="0" borderId="0" xfId="2" applyNumberFormat="1" applyFont="1" applyFill="1" applyBorder="1" applyAlignment="1">
      <alignment vertical="center" shrinkToFit="1"/>
    </xf>
    <xf numFmtId="0" fontId="31" fillId="0" borderId="62" xfId="0" applyFont="1" applyBorder="1" applyAlignment="1">
      <alignment vertical="center" wrapText="1"/>
    </xf>
    <xf numFmtId="0" fontId="31" fillId="0" borderId="63" xfId="0" applyFont="1" applyBorder="1" applyAlignment="1">
      <alignment vertical="center" wrapText="1"/>
    </xf>
    <xf numFmtId="41" fontId="31" fillId="0" borderId="63" xfId="0" applyNumberFormat="1" applyFont="1" applyBorder="1" applyAlignment="1">
      <alignment horizontal="right" vertical="center" wrapText="1"/>
    </xf>
    <xf numFmtId="198" fontId="31" fillId="0" borderId="63" xfId="2" applyNumberFormat="1" applyFont="1" applyBorder="1" applyAlignment="1">
      <alignment horizontal="right" vertical="center" wrapText="1"/>
    </xf>
    <xf numFmtId="41" fontId="28" fillId="0" borderId="43" xfId="2" applyFont="1" applyFill="1" applyBorder="1" applyAlignment="1">
      <alignment horizontal="center" vertical="center"/>
    </xf>
    <xf numFmtId="9" fontId="28" fillId="0" borderId="43" xfId="2" applyNumberFormat="1" applyFont="1" applyFill="1" applyBorder="1" applyAlignment="1">
      <alignment horizontal="right" vertical="center"/>
    </xf>
    <xf numFmtId="177" fontId="28" fillId="0" borderId="0" xfId="2" applyNumberFormat="1" applyFont="1" applyFill="1" applyBorder="1" applyAlignment="1">
      <alignment horizontal="right" vertical="center"/>
    </xf>
    <xf numFmtId="0" fontId="31" fillId="0" borderId="36" xfId="0" applyFont="1" applyFill="1" applyBorder="1" applyAlignment="1">
      <alignment horizontal="center" vertical="center" wrapText="1"/>
    </xf>
    <xf numFmtId="197" fontId="28" fillId="0" borderId="0" xfId="2" applyNumberFormat="1" applyFont="1" applyFill="1" applyBorder="1" applyAlignment="1">
      <alignment horizontal="right" vertical="center"/>
    </xf>
    <xf numFmtId="0" fontId="28" fillId="0" borderId="0" xfId="2" applyNumberFormat="1" applyFont="1" applyFill="1" applyBorder="1" applyAlignment="1">
      <alignment horizontal="right" vertical="center"/>
    </xf>
    <xf numFmtId="189" fontId="28" fillId="0" borderId="0" xfId="2" applyNumberFormat="1" applyFont="1" applyFill="1" applyBorder="1" applyAlignment="1">
      <alignment horizontal="right" vertical="center"/>
    </xf>
    <xf numFmtId="49" fontId="31" fillId="0" borderId="4" xfId="2" applyNumberFormat="1" applyFont="1" applyFill="1" applyBorder="1" applyAlignment="1">
      <alignment vertical="center" shrinkToFit="1"/>
    </xf>
    <xf numFmtId="189" fontId="28" fillId="0" borderId="4" xfId="2" applyNumberFormat="1" applyFont="1" applyFill="1" applyBorder="1" applyAlignment="1">
      <alignment horizontal="right" vertical="center"/>
    </xf>
    <xf numFmtId="178" fontId="28" fillId="0" borderId="4" xfId="2" applyNumberFormat="1" applyFont="1" applyFill="1" applyBorder="1" applyAlignment="1">
      <alignment horizontal="right" vertical="center"/>
    </xf>
    <xf numFmtId="185" fontId="28" fillId="0" borderId="4" xfId="2" applyNumberFormat="1" applyFont="1" applyFill="1" applyBorder="1" applyAlignment="1">
      <alignment horizontal="right" vertical="center"/>
    </xf>
    <xf numFmtId="41" fontId="31" fillId="0" borderId="17" xfId="2" applyFont="1" applyBorder="1" applyAlignment="1">
      <alignment horizontal="right" vertical="center" wrapText="1"/>
    </xf>
    <xf numFmtId="0" fontId="31" fillId="0" borderId="65" xfId="0" applyFont="1" applyFill="1" applyBorder="1" applyAlignment="1">
      <alignment horizontal="center" vertical="center" wrapText="1"/>
    </xf>
    <xf numFmtId="42" fontId="31" fillId="4" borderId="78" xfId="0" applyNumberFormat="1" applyFont="1" applyFill="1" applyBorder="1" applyAlignment="1">
      <alignment vertical="center"/>
    </xf>
    <xf numFmtId="42" fontId="31" fillId="4" borderId="79" xfId="0" applyNumberFormat="1" applyFont="1" applyFill="1" applyBorder="1" applyAlignment="1">
      <alignment horizontal="center" vertical="center"/>
    </xf>
    <xf numFmtId="41" fontId="31" fillId="4" borderId="45" xfId="2" applyFont="1" applyFill="1" applyBorder="1" applyAlignment="1">
      <alignment horizontal="right" vertical="center" wrapText="1"/>
    </xf>
    <xf numFmtId="198" fontId="31" fillId="4" borderId="45" xfId="2" applyNumberFormat="1" applyFont="1" applyFill="1" applyBorder="1" applyAlignment="1">
      <alignment horizontal="right" vertical="center" wrapText="1"/>
    </xf>
    <xf numFmtId="49" fontId="28" fillId="4" borderId="80" xfId="0" applyNumberFormat="1" applyFont="1" applyFill="1" applyBorder="1" applyAlignment="1">
      <alignment vertical="center"/>
    </xf>
    <xf numFmtId="41" fontId="28" fillId="4" borderId="80" xfId="0" applyNumberFormat="1" applyFont="1" applyFill="1" applyBorder="1" applyAlignment="1">
      <alignment vertical="center"/>
    </xf>
    <xf numFmtId="41" fontId="28" fillId="4" borderId="81" xfId="0" applyNumberFormat="1" applyFont="1" applyFill="1" applyBorder="1" applyAlignment="1">
      <alignment vertical="center"/>
    </xf>
    <xf numFmtId="49" fontId="31" fillId="0" borderId="0" xfId="2" applyNumberFormat="1" applyFont="1" applyFill="1" applyBorder="1" applyAlignment="1">
      <alignment vertical="center" shrinkToFit="1"/>
    </xf>
    <xf numFmtId="193" fontId="31" fillId="0" borderId="0" xfId="2" applyNumberFormat="1" applyFont="1" applyFill="1" applyBorder="1" applyAlignment="1">
      <alignment horizontal="right" vertical="center"/>
    </xf>
    <xf numFmtId="194" fontId="31" fillId="0" borderId="9" xfId="2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center" vertical="center" wrapText="1"/>
    </xf>
    <xf numFmtId="179" fontId="28" fillId="0" borderId="0" xfId="2" applyNumberFormat="1" applyFont="1" applyFill="1" applyBorder="1" applyAlignment="1">
      <alignment horizontal="right" vertical="center"/>
    </xf>
    <xf numFmtId="188" fontId="28" fillId="0" borderId="0" xfId="0" applyNumberFormat="1" applyFont="1" applyFill="1" applyBorder="1" applyAlignment="1" applyProtection="1">
      <alignment horizontal="right" vertical="center" shrinkToFit="1"/>
    </xf>
    <xf numFmtId="10" fontId="28" fillId="0" borderId="0" xfId="0" applyNumberFormat="1" applyFont="1" applyFill="1" applyBorder="1" applyAlignment="1" applyProtection="1">
      <alignment horizontal="right" vertical="center" shrinkToFit="1"/>
    </xf>
    <xf numFmtId="183" fontId="28" fillId="0" borderId="0" xfId="2" applyNumberFormat="1" applyFont="1" applyFill="1" applyBorder="1" applyAlignment="1">
      <alignment horizontal="right" vertical="center"/>
    </xf>
    <xf numFmtId="193" fontId="28" fillId="0" borderId="9" xfId="2" applyNumberFormat="1" applyFont="1" applyFill="1" applyBorder="1" applyAlignment="1">
      <alignment horizontal="right" vertical="center"/>
    </xf>
    <xf numFmtId="176" fontId="28" fillId="0" borderId="4" xfId="2" applyNumberFormat="1" applyFont="1" applyFill="1" applyBorder="1" applyAlignment="1">
      <alignment horizontal="right" vertical="center"/>
    </xf>
    <xf numFmtId="9" fontId="28" fillId="0" borderId="4" xfId="2" applyNumberFormat="1" applyFont="1" applyFill="1" applyBorder="1" applyAlignment="1">
      <alignment horizontal="right" vertical="center"/>
    </xf>
    <xf numFmtId="177" fontId="28" fillId="0" borderId="4" xfId="2" applyNumberFormat="1" applyFont="1" applyFill="1" applyBorder="1" applyAlignment="1">
      <alignment horizontal="right" vertical="center"/>
    </xf>
    <xf numFmtId="193" fontId="31" fillId="0" borderId="8" xfId="2" applyNumberFormat="1" applyFont="1" applyFill="1" applyBorder="1" applyAlignment="1">
      <alignment horizontal="right" vertical="center"/>
    </xf>
    <xf numFmtId="41" fontId="31" fillId="0" borderId="36" xfId="2" applyFont="1" applyBorder="1" applyAlignment="1">
      <alignment horizontal="right" vertical="center" wrapText="1"/>
    </xf>
    <xf numFmtId="41" fontId="31" fillId="0" borderId="36" xfId="0" applyNumberFormat="1" applyFont="1" applyBorder="1" applyAlignment="1">
      <alignment horizontal="right" vertical="center" wrapText="1"/>
    </xf>
    <xf numFmtId="198" fontId="31" fillId="0" borderId="36" xfId="2" applyNumberFormat="1" applyFont="1" applyBorder="1" applyAlignment="1">
      <alignment horizontal="right" vertical="center" wrapText="1"/>
    </xf>
    <xf numFmtId="49" fontId="28" fillId="0" borderId="2" xfId="2" applyNumberFormat="1" applyFont="1" applyFill="1" applyBorder="1" applyAlignment="1">
      <alignment vertical="center" shrinkToFit="1"/>
    </xf>
    <xf numFmtId="194" fontId="28" fillId="0" borderId="2" xfId="2" applyNumberFormat="1" applyFont="1" applyFill="1" applyBorder="1" applyAlignment="1">
      <alignment horizontal="right" vertical="center"/>
    </xf>
    <xf numFmtId="0" fontId="28" fillId="0" borderId="2" xfId="2" applyNumberFormat="1" applyFont="1" applyFill="1" applyBorder="1" applyAlignment="1">
      <alignment horizontal="center" vertical="center" shrinkToFit="1"/>
    </xf>
    <xf numFmtId="180" fontId="28" fillId="0" borderId="0" xfId="2" applyNumberFormat="1" applyFont="1" applyFill="1" applyBorder="1" applyAlignment="1">
      <alignment horizontal="right" vertical="center" shrinkToFit="1"/>
    </xf>
    <xf numFmtId="41" fontId="28" fillId="0" borderId="2" xfId="2" applyFont="1" applyFill="1" applyBorder="1" applyAlignment="1">
      <alignment horizontal="center" vertical="center"/>
    </xf>
    <xf numFmtId="178" fontId="28" fillId="0" borderId="2" xfId="2" applyNumberFormat="1" applyFont="1" applyFill="1" applyBorder="1" applyAlignment="1">
      <alignment horizontal="right" vertical="center"/>
    </xf>
    <xf numFmtId="193" fontId="28" fillId="0" borderId="13" xfId="2" applyNumberFormat="1" applyFont="1" applyFill="1" applyBorder="1" applyAlignment="1">
      <alignment horizontal="right" vertical="center"/>
    </xf>
    <xf numFmtId="194" fontId="28" fillId="0" borderId="0" xfId="2" applyNumberFormat="1" applyFont="1" applyBorder="1" applyAlignment="1">
      <alignment horizontal="right" vertical="center"/>
    </xf>
    <xf numFmtId="0" fontId="28" fillId="0" borderId="0" xfId="2" applyNumberFormat="1" applyFont="1" applyBorder="1" applyAlignment="1">
      <alignment horizontal="center" vertical="center"/>
    </xf>
    <xf numFmtId="177" fontId="28" fillId="0" borderId="0" xfId="2" applyNumberFormat="1" applyFont="1" applyBorder="1" applyAlignment="1">
      <alignment horizontal="right" vertical="center"/>
    </xf>
    <xf numFmtId="41" fontId="28" fillId="0" borderId="0" xfId="2" applyFont="1" applyBorder="1" applyAlignment="1">
      <alignment horizontal="right" vertical="center"/>
    </xf>
    <xf numFmtId="42" fontId="28" fillId="0" borderId="0" xfId="2" applyNumberFormat="1" applyFont="1" applyBorder="1" applyAlignment="1">
      <alignment horizontal="center" vertical="center"/>
    </xf>
    <xf numFmtId="193" fontId="28" fillId="0" borderId="9" xfId="2" applyNumberFormat="1" applyFont="1" applyBorder="1" applyAlignment="1">
      <alignment horizontal="right" vertical="center"/>
    </xf>
    <xf numFmtId="193" fontId="28" fillId="0" borderId="0" xfId="2" applyNumberFormat="1" applyFont="1" applyBorder="1" applyAlignment="1">
      <alignment horizontal="right" vertical="center"/>
    </xf>
    <xf numFmtId="0" fontId="28" fillId="0" borderId="0" xfId="2" applyNumberFormat="1" applyFont="1" applyFill="1" applyBorder="1" applyAlignment="1">
      <alignment horizontal="center" vertical="center" shrinkToFit="1"/>
    </xf>
    <xf numFmtId="178" fontId="28" fillId="0" borderId="0" xfId="2" applyNumberFormat="1" applyFont="1" applyFill="1" applyBorder="1" applyAlignment="1">
      <alignment horizontal="right" vertical="center"/>
    </xf>
    <xf numFmtId="180" fontId="28" fillId="0" borderId="0" xfId="2" applyNumberFormat="1" applyFont="1" applyBorder="1" applyAlignment="1">
      <alignment horizontal="right" vertical="center"/>
    </xf>
    <xf numFmtId="41" fontId="31" fillId="0" borderId="63" xfId="2" applyFont="1" applyBorder="1" applyAlignment="1">
      <alignment horizontal="right" vertical="center" wrapText="1"/>
    </xf>
    <xf numFmtId="41" fontId="31" fillId="0" borderId="0" xfId="2" applyFont="1" applyFill="1" applyBorder="1" applyAlignment="1">
      <alignment horizontal="center" vertical="center"/>
    </xf>
    <xf numFmtId="193" fontId="31" fillId="0" borderId="9" xfId="2" applyNumberFormat="1" applyFont="1" applyFill="1" applyBorder="1" applyAlignment="1">
      <alignment horizontal="right" vertical="center"/>
    </xf>
    <xf numFmtId="177" fontId="28" fillId="0" borderId="0" xfId="2" applyNumberFormat="1" applyFont="1" applyFill="1" applyBorder="1" applyAlignment="1">
      <alignment horizontal="right" vertical="center" shrinkToFit="1"/>
    </xf>
    <xf numFmtId="193" fontId="31" fillId="0" borderId="0" xfId="0" applyNumberFormat="1" applyFont="1" applyBorder="1" applyAlignment="1">
      <alignment vertical="center"/>
    </xf>
    <xf numFmtId="0" fontId="31" fillId="0" borderId="17" xfId="0" applyFont="1" applyFill="1" applyBorder="1" applyAlignment="1">
      <alignment vertical="center" wrapText="1"/>
    </xf>
    <xf numFmtId="41" fontId="31" fillId="0" borderId="17" xfId="0" applyNumberFormat="1" applyFont="1" applyFill="1" applyBorder="1" applyAlignment="1">
      <alignment horizontal="right" vertical="center" wrapText="1"/>
    </xf>
    <xf numFmtId="198" fontId="31" fillId="0" borderId="17" xfId="2" applyNumberFormat="1" applyFont="1" applyFill="1" applyBorder="1" applyAlignment="1">
      <alignment horizontal="right" vertical="center" wrapText="1"/>
    </xf>
    <xf numFmtId="0" fontId="28" fillId="0" borderId="0" xfId="2" applyNumberFormat="1" applyFont="1" applyFill="1" applyBorder="1" applyAlignment="1">
      <alignment horizontal="center" vertical="center"/>
    </xf>
    <xf numFmtId="42" fontId="28" fillId="0" borderId="0" xfId="2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94" fontId="28" fillId="0" borderId="43" xfId="2" applyNumberFormat="1" applyFont="1" applyFill="1" applyBorder="1" applyAlignment="1">
      <alignment horizontal="right" vertical="center"/>
    </xf>
    <xf numFmtId="176" fontId="28" fillId="0" borderId="0" xfId="2" applyNumberFormat="1" applyFont="1" applyFill="1" applyBorder="1" applyAlignment="1">
      <alignment horizontal="right" vertical="center" shrinkToFit="1"/>
    </xf>
    <xf numFmtId="180" fontId="28" fillId="0" borderId="43" xfId="2" applyNumberFormat="1" applyFont="1" applyFill="1" applyBorder="1" applyAlignment="1">
      <alignment horizontal="right" vertical="center"/>
    </xf>
    <xf numFmtId="177" fontId="28" fillId="0" borderId="43" xfId="2" applyNumberFormat="1" applyFont="1" applyFill="1" applyBorder="1" applyAlignment="1">
      <alignment horizontal="right" vertical="center"/>
    </xf>
    <xf numFmtId="193" fontId="28" fillId="0" borderId="64" xfId="2" applyNumberFormat="1" applyFont="1" applyFill="1" applyBorder="1" applyAlignment="1">
      <alignment horizontal="right" vertical="center"/>
    </xf>
    <xf numFmtId="41" fontId="31" fillId="6" borderId="45" xfId="0" applyNumberFormat="1" applyFont="1" applyFill="1" applyBorder="1" applyAlignment="1">
      <alignment horizontal="right" vertical="center" wrapText="1"/>
    </xf>
    <xf numFmtId="198" fontId="31" fillId="6" borderId="45" xfId="2" applyNumberFormat="1" applyFont="1" applyFill="1" applyBorder="1" applyAlignment="1">
      <alignment horizontal="right" vertical="center" wrapText="1"/>
    </xf>
    <xf numFmtId="0" fontId="28" fillId="6" borderId="78" xfId="0" applyFont="1" applyFill="1" applyBorder="1" applyAlignment="1">
      <alignment horizontal="center" vertical="center"/>
    </xf>
    <xf numFmtId="0" fontId="28" fillId="6" borderId="80" xfId="0" applyFont="1" applyFill="1" applyBorder="1" applyAlignment="1">
      <alignment horizontal="center" vertical="center"/>
    </xf>
    <xf numFmtId="0" fontId="28" fillId="6" borderId="81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190" fontId="28" fillId="0" borderId="4" xfId="2" applyNumberFormat="1" applyFont="1" applyFill="1" applyBorder="1" applyAlignment="1">
      <alignment horizontal="right" vertical="center"/>
    </xf>
    <xf numFmtId="184" fontId="28" fillId="0" borderId="4" xfId="2" applyNumberFormat="1" applyFont="1" applyFill="1" applyBorder="1" applyAlignment="1">
      <alignment horizontal="right" vertical="center"/>
    </xf>
    <xf numFmtId="186" fontId="28" fillId="0" borderId="4" xfId="2" applyNumberFormat="1" applyFont="1" applyFill="1" applyBorder="1" applyAlignment="1">
      <alignment horizontal="right" vertical="center"/>
    </xf>
    <xf numFmtId="186" fontId="28" fillId="0" borderId="0" xfId="2" applyNumberFormat="1" applyFont="1" applyFill="1" applyBorder="1" applyAlignment="1">
      <alignment horizontal="right" vertical="center"/>
    </xf>
    <xf numFmtId="186" fontId="28" fillId="0" borderId="2" xfId="2" applyNumberFormat="1" applyFont="1" applyFill="1" applyBorder="1" applyAlignment="1">
      <alignment horizontal="right" vertical="center"/>
    </xf>
    <xf numFmtId="194" fontId="28" fillId="0" borderId="13" xfId="2" applyNumberFormat="1" applyFont="1" applyFill="1" applyBorder="1" applyAlignment="1">
      <alignment horizontal="right" vertical="center"/>
    </xf>
    <xf numFmtId="42" fontId="31" fillId="0" borderId="4" xfId="2" applyNumberFormat="1" applyFont="1" applyFill="1" applyBorder="1" applyAlignment="1">
      <alignment horizontal="left" vertical="center" shrinkToFit="1"/>
    </xf>
    <xf numFmtId="41" fontId="36" fillId="0" borderId="0" xfId="0" applyNumberFormat="1" applyFont="1" applyBorder="1" applyAlignment="1">
      <alignment vertical="center"/>
    </xf>
    <xf numFmtId="0" fontId="15" fillId="0" borderId="0" xfId="0" applyFont="1" applyBorder="1">
      <alignment vertical="center"/>
    </xf>
    <xf numFmtId="196" fontId="31" fillId="4" borderId="35" xfId="1" applyNumberFormat="1" applyFont="1" applyFill="1" applyBorder="1" applyAlignment="1">
      <alignment horizontal="right" vertical="center" wrapText="1"/>
    </xf>
    <xf numFmtId="200" fontId="31" fillId="0" borderId="18" xfId="0" applyNumberFormat="1" applyFont="1" applyFill="1" applyBorder="1" applyAlignment="1">
      <alignment horizontal="right" vertical="center" wrapText="1"/>
    </xf>
    <xf numFmtId="198" fontId="31" fillId="0" borderId="18" xfId="2" applyNumberFormat="1" applyFont="1" applyFill="1" applyBorder="1" applyAlignment="1">
      <alignment horizontal="right" vertical="center" wrapText="1"/>
    </xf>
    <xf numFmtId="49" fontId="31" fillId="0" borderId="4" xfId="2" applyNumberFormat="1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200" fontId="31" fillId="0" borderId="36" xfId="0" applyNumberFormat="1" applyFont="1" applyFill="1" applyBorder="1" applyAlignment="1">
      <alignment horizontal="right" vertical="center" wrapText="1"/>
    </xf>
    <xf numFmtId="41" fontId="31" fillId="0" borderId="36" xfId="2" applyFont="1" applyFill="1" applyBorder="1" applyAlignment="1">
      <alignment horizontal="right" vertical="center" wrapText="1"/>
    </xf>
    <xf numFmtId="198" fontId="31" fillId="0" borderId="36" xfId="2" applyNumberFormat="1" applyFont="1" applyFill="1" applyBorder="1" applyAlignment="1">
      <alignment horizontal="right" vertical="center" wrapText="1"/>
    </xf>
    <xf numFmtId="196" fontId="31" fillId="0" borderId="36" xfId="1" quotePrefix="1" applyNumberFormat="1" applyFont="1" applyFill="1" applyBorder="1" applyAlignment="1">
      <alignment horizontal="right" vertical="center" wrapText="1"/>
    </xf>
    <xf numFmtId="49" fontId="28" fillId="0" borderId="2" xfId="2" applyNumberFormat="1" applyFont="1" applyFill="1" applyBorder="1" applyAlignment="1">
      <alignment horizontal="right" vertical="center"/>
    </xf>
    <xf numFmtId="184" fontId="28" fillId="0" borderId="2" xfId="2" applyNumberFormat="1" applyFont="1" applyFill="1" applyBorder="1" applyAlignment="1">
      <alignment horizontal="right" vertical="center"/>
    </xf>
    <xf numFmtId="0" fontId="15" fillId="0" borderId="43" xfId="0" applyFont="1" applyFill="1" applyBorder="1">
      <alignment vertical="center"/>
    </xf>
    <xf numFmtId="0" fontId="15" fillId="0" borderId="65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7" xfId="0" applyFont="1" applyFill="1" applyBorder="1" applyAlignment="1">
      <alignment horizontal="center" vertical="center"/>
    </xf>
    <xf numFmtId="41" fontId="15" fillId="0" borderId="17" xfId="2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198" fontId="15" fillId="0" borderId="17" xfId="2" applyNumberFormat="1" applyFont="1" applyBorder="1" applyAlignment="1">
      <alignment horizontal="right" vertical="center"/>
    </xf>
    <xf numFmtId="49" fontId="28" fillId="0" borderId="0" xfId="0" applyNumberFormat="1" applyFont="1" applyAlignment="1">
      <alignment vertical="center"/>
    </xf>
    <xf numFmtId="198" fontId="23" fillId="0" borderId="111" xfId="5" applyNumberFormat="1" applyFont="1" applyBorder="1" applyAlignment="1">
      <alignment horizontal="left" vertical="center" wrapText="1"/>
    </xf>
    <xf numFmtId="194" fontId="31" fillId="0" borderId="4" xfId="2" applyNumberFormat="1" applyFont="1" applyFill="1" applyBorder="1" applyAlignment="1">
      <alignment horizontal="right" vertical="center"/>
    </xf>
    <xf numFmtId="0" fontId="34" fillId="0" borderId="4" xfId="0" applyFont="1" applyBorder="1" applyAlignment="1">
      <alignment vertical="center"/>
    </xf>
    <xf numFmtId="196" fontId="31" fillId="0" borderId="18" xfId="2" applyNumberFormat="1" applyFont="1" applyBorder="1" applyAlignment="1">
      <alignment horizontal="right" vertical="center" wrapText="1"/>
    </xf>
    <xf numFmtId="42" fontId="31" fillId="0" borderId="3" xfId="2" applyNumberFormat="1" applyFont="1" applyFill="1" applyBorder="1" applyAlignment="1">
      <alignment horizontal="left" vertical="center" shrinkToFit="1"/>
    </xf>
    <xf numFmtId="49" fontId="31" fillId="0" borderId="0" xfId="2" applyNumberFormat="1" applyFont="1" applyFill="1" applyBorder="1" applyAlignment="1">
      <alignment horizontal="left" vertical="center" shrinkToFit="1"/>
    </xf>
    <xf numFmtId="0" fontId="28" fillId="0" borderId="43" xfId="2" applyNumberFormat="1" applyFont="1" applyFill="1" applyBorder="1" applyAlignment="1">
      <alignment horizontal="center" vertical="center" shrinkToFit="1"/>
    </xf>
    <xf numFmtId="178" fontId="28" fillId="0" borderId="43" xfId="2" applyNumberFormat="1" applyFont="1" applyFill="1" applyBorder="1" applyAlignment="1">
      <alignment horizontal="right" vertical="center"/>
    </xf>
    <xf numFmtId="0" fontId="32" fillId="0" borderId="110" xfId="0" applyFont="1" applyBorder="1" applyAlignment="1">
      <alignment horizontal="center" vertical="center" shrinkToFit="1"/>
    </xf>
    <xf numFmtId="195" fontId="33" fillId="0" borderId="110" xfId="2" applyNumberFormat="1" applyFont="1" applyBorder="1" applyAlignment="1">
      <alignment horizontal="right" vertical="center" wrapText="1"/>
    </xf>
    <xf numFmtId="41" fontId="38" fillId="0" borderId="98" xfId="0" applyNumberFormat="1" applyFont="1" applyBorder="1" applyAlignment="1">
      <alignment horizontal="right" vertical="center" wrapText="1"/>
    </xf>
    <xf numFmtId="193" fontId="34" fillId="0" borderId="43" xfId="2" applyNumberFormat="1" applyFont="1" applyFill="1" applyBorder="1" applyAlignment="1">
      <alignment horizontal="right" vertical="center"/>
    </xf>
    <xf numFmtId="192" fontId="34" fillId="0" borderId="43" xfId="2" applyNumberFormat="1" applyFont="1" applyFill="1" applyBorder="1" applyAlignment="1">
      <alignment horizontal="right" vertical="center"/>
    </xf>
    <xf numFmtId="41" fontId="34" fillId="0" borderId="43" xfId="2" applyFont="1" applyFill="1" applyBorder="1" applyAlignment="1">
      <alignment horizontal="right" vertical="center"/>
    </xf>
    <xf numFmtId="194" fontId="34" fillId="0" borderId="64" xfId="2" applyNumberFormat="1" applyFont="1" applyFill="1" applyBorder="1" applyAlignment="1">
      <alignment horizontal="right" vertical="center"/>
    </xf>
    <xf numFmtId="202" fontId="29" fillId="0" borderId="0" xfId="2" applyNumberFormat="1" applyFont="1" applyBorder="1" applyAlignment="1">
      <alignment horizontal="right" vertical="center"/>
    </xf>
    <xf numFmtId="202" fontId="31" fillId="0" borderId="29" xfId="2" applyNumberFormat="1" applyFont="1" applyFill="1" applyBorder="1" applyAlignment="1">
      <alignment horizontal="center" vertical="center" wrapText="1"/>
    </xf>
    <xf numFmtId="202" fontId="31" fillId="5" borderId="35" xfId="2" applyNumberFormat="1" applyFont="1" applyFill="1" applyBorder="1" applyAlignment="1">
      <alignment horizontal="right" vertical="center" wrapText="1"/>
    </xf>
    <xf numFmtId="202" fontId="31" fillId="6" borderId="35" xfId="2" applyNumberFormat="1" applyFont="1" applyFill="1" applyBorder="1" applyAlignment="1">
      <alignment horizontal="right" vertical="center" wrapText="1"/>
    </xf>
    <xf numFmtId="202" fontId="31" fillId="4" borderId="35" xfId="2" applyNumberFormat="1" applyFont="1" applyFill="1" applyBorder="1" applyAlignment="1">
      <alignment horizontal="right" vertical="center" wrapText="1"/>
    </xf>
    <xf numFmtId="202" fontId="31" fillId="0" borderId="18" xfId="2" applyNumberFormat="1" applyFont="1" applyBorder="1" applyAlignment="1">
      <alignment horizontal="right" vertical="center" wrapText="1"/>
    </xf>
    <xf numFmtId="202" fontId="39" fillId="0" borderId="17" xfId="2" applyNumberFormat="1" applyFont="1" applyBorder="1" applyAlignment="1">
      <alignment horizontal="right" vertical="center" wrapText="1"/>
    </xf>
    <xf numFmtId="202" fontId="39" fillId="0" borderId="17" xfId="2" applyNumberFormat="1" applyFont="1" applyBorder="1" applyAlignment="1">
      <alignment horizontal="right" vertical="center"/>
    </xf>
    <xf numFmtId="202" fontId="31" fillId="0" borderId="17" xfId="2" applyNumberFormat="1" applyFont="1" applyBorder="1" applyAlignment="1">
      <alignment horizontal="right" vertical="center" wrapText="1"/>
    </xf>
    <xf numFmtId="202" fontId="31" fillId="4" borderId="45" xfId="2" applyNumberFormat="1" applyFont="1" applyFill="1" applyBorder="1" applyAlignment="1">
      <alignment horizontal="right" vertical="center" wrapText="1"/>
    </xf>
    <xf numFmtId="202" fontId="40" fillId="0" borderId="17" xfId="2" applyNumberFormat="1" applyFont="1" applyBorder="1" applyAlignment="1">
      <alignment horizontal="right" vertical="center"/>
    </xf>
    <xf numFmtId="202" fontId="31" fillId="0" borderId="18" xfId="1" applyNumberFormat="1" applyFont="1" applyBorder="1" applyAlignment="1">
      <alignment horizontal="right" vertical="center" wrapText="1"/>
    </xf>
    <xf numFmtId="202" fontId="31" fillId="0" borderId="17" xfId="2" applyNumberFormat="1" applyFont="1" applyFill="1" applyBorder="1" applyAlignment="1">
      <alignment horizontal="right" vertical="center" wrapText="1"/>
    </xf>
    <xf numFmtId="202" fontId="31" fillId="0" borderId="17" xfId="1" applyNumberFormat="1" applyFont="1" applyBorder="1" applyAlignment="1">
      <alignment horizontal="right" vertical="center" wrapText="1"/>
    </xf>
    <xf numFmtId="202" fontId="31" fillId="0" borderId="36" xfId="2" applyNumberFormat="1" applyFont="1" applyBorder="1" applyAlignment="1">
      <alignment horizontal="right" vertical="center" wrapText="1"/>
    </xf>
    <xf numFmtId="202" fontId="31" fillId="6" borderId="45" xfId="2" applyNumberFormat="1" applyFont="1" applyFill="1" applyBorder="1" applyAlignment="1">
      <alignment horizontal="right" vertical="center" wrapText="1"/>
    </xf>
    <xf numFmtId="202" fontId="15" fillId="0" borderId="5" xfId="2" applyNumberFormat="1" applyFont="1" applyBorder="1" applyAlignment="1">
      <alignment horizontal="right" vertical="center"/>
    </xf>
    <xf numFmtId="202" fontId="30" fillId="0" borderId="44" xfId="2" applyNumberFormat="1" applyFont="1" applyFill="1" applyBorder="1" applyAlignment="1">
      <alignment horizontal="center" vertical="center" wrapText="1"/>
    </xf>
    <xf numFmtId="202" fontId="30" fillId="6" borderId="56" xfId="2" applyNumberFormat="1" applyFont="1" applyFill="1" applyBorder="1" applyAlignment="1">
      <alignment horizontal="right" vertical="center" wrapText="1"/>
    </xf>
    <xf numFmtId="202" fontId="30" fillId="4" borderId="30" xfId="2" applyNumberFormat="1" applyFont="1" applyFill="1" applyBorder="1" applyAlignment="1">
      <alignment horizontal="right" vertical="center" wrapText="1"/>
    </xf>
    <xf numFmtId="202" fontId="33" fillId="0" borderId="38" xfId="2" applyNumberFormat="1" applyFont="1" applyBorder="1" applyAlignment="1">
      <alignment horizontal="right" vertical="center" wrapText="1"/>
    </xf>
    <xf numFmtId="202" fontId="33" fillId="0" borderId="37" xfId="2" applyNumberFormat="1" applyFont="1" applyBorder="1" applyAlignment="1">
      <alignment horizontal="right" vertical="center" wrapText="1"/>
    </xf>
    <xf numFmtId="202" fontId="33" fillId="0" borderId="110" xfId="2" applyNumberFormat="1" applyFont="1" applyBorder="1" applyAlignment="1">
      <alignment horizontal="right" vertical="center" wrapText="1"/>
    </xf>
    <xf numFmtId="202" fontId="30" fillId="4" borderId="30" xfId="1" applyNumberFormat="1" applyFont="1" applyFill="1" applyBorder="1" applyAlignment="1">
      <alignment horizontal="right" vertical="center" wrapText="1"/>
    </xf>
    <xf numFmtId="202" fontId="33" fillId="0" borderId="38" xfId="1" applyNumberFormat="1" applyFont="1" applyBorder="1" applyAlignment="1">
      <alignment horizontal="right" vertical="center" wrapText="1"/>
    </xf>
    <xf numFmtId="202" fontId="28" fillId="0" borderId="0" xfId="2" applyNumberFormat="1" applyFont="1" applyAlignment="1">
      <alignment horizontal="right" vertical="center" wrapText="1"/>
    </xf>
    <xf numFmtId="202" fontId="28" fillId="0" borderId="0" xfId="1" applyNumberFormat="1" applyFont="1">
      <alignment vertical="center"/>
    </xf>
    <xf numFmtId="0" fontId="31" fillId="0" borderId="0" xfId="0" applyFont="1" applyAlignment="1">
      <alignment horizontal="center" vertical="center"/>
    </xf>
    <xf numFmtId="0" fontId="31" fillId="0" borderId="51" xfId="0" applyFont="1" applyBorder="1" applyAlignment="1">
      <alignment vertical="center" wrapText="1"/>
    </xf>
    <xf numFmtId="199" fontId="31" fillId="6" borderId="36" xfId="0" applyNumberFormat="1" applyFont="1" applyFill="1" applyBorder="1" applyAlignment="1">
      <alignment horizontal="right" vertical="center" wrapText="1"/>
    </xf>
    <xf numFmtId="41" fontId="31" fillId="6" borderId="36" xfId="2" applyFont="1" applyFill="1" applyBorder="1" applyAlignment="1">
      <alignment horizontal="right" vertical="center" wrapText="1"/>
    </xf>
    <xf numFmtId="198" fontId="31" fillId="6" borderId="36" xfId="2" applyNumberFormat="1" applyFont="1" applyFill="1" applyBorder="1" applyAlignment="1">
      <alignment horizontal="right" vertical="center" wrapText="1"/>
    </xf>
    <xf numFmtId="0" fontId="28" fillId="6" borderId="6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41" fontId="30" fillId="6" borderId="127" xfId="0" applyNumberFormat="1" applyFont="1" applyFill="1" applyBorder="1" applyAlignment="1">
      <alignment horizontal="right" vertical="center" wrapText="1"/>
    </xf>
    <xf numFmtId="198" fontId="30" fillId="6" borderId="127" xfId="2" applyNumberFormat="1" applyFont="1" applyFill="1" applyBorder="1" applyAlignment="1">
      <alignment horizontal="right" vertical="center" wrapText="1"/>
    </xf>
    <xf numFmtId="202" fontId="30" fillId="6" borderId="127" xfId="1" applyNumberFormat="1" applyFont="1" applyFill="1" applyBorder="1" applyAlignment="1">
      <alignment horizontal="right" vertical="center" wrapText="1"/>
    </xf>
    <xf numFmtId="0" fontId="32" fillId="0" borderId="130" xfId="0" applyFont="1" applyBorder="1" applyAlignment="1">
      <alignment vertical="center" wrapText="1"/>
    </xf>
    <xf numFmtId="0" fontId="32" fillId="0" borderId="131" xfId="0" applyFont="1" applyBorder="1" applyAlignment="1">
      <alignment vertical="center" wrapText="1"/>
    </xf>
    <xf numFmtId="0" fontId="32" fillId="0" borderId="132" xfId="0" applyFont="1" applyBorder="1" applyAlignment="1">
      <alignment horizontal="center" vertical="center" shrinkToFit="1"/>
    </xf>
    <xf numFmtId="41" fontId="33" fillId="0" borderId="131" xfId="0" applyNumberFormat="1" applyFont="1" applyBorder="1" applyAlignment="1">
      <alignment horizontal="right" vertical="center" wrapText="1"/>
    </xf>
    <xf numFmtId="198" fontId="33" fillId="0" borderId="131" xfId="2" applyNumberFormat="1" applyFont="1" applyBorder="1" applyAlignment="1">
      <alignment horizontal="right" vertical="center" wrapText="1"/>
    </xf>
    <xf numFmtId="202" fontId="33" fillId="0" borderId="131" xfId="2" applyNumberFormat="1" applyFont="1" applyBorder="1" applyAlignment="1">
      <alignment horizontal="right" vertical="center" wrapText="1"/>
    </xf>
    <xf numFmtId="41" fontId="38" fillId="0" borderId="2" xfId="0" applyNumberFormat="1" applyFont="1" applyBorder="1" applyAlignment="1">
      <alignment horizontal="right" vertical="center" wrapText="1"/>
    </xf>
    <xf numFmtId="193" fontId="34" fillId="0" borderId="2" xfId="0" applyNumberFormat="1" applyFont="1" applyBorder="1">
      <alignment vertical="center"/>
    </xf>
    <xf numFmtId="41" fontId="34" fillId="0" borderId="2" xfId="2" applyFont="1" applyFill="1" applyBorder="1" applyAlignment="1">
      <alignment horizontal="center" vertical="center"/>
    </xf>
    <xf numFmtId="191" fontId="34" fillId="0" borderId="2" xfId="2" applyNumberFormat="1" applyFont="1" applyFill="1" applyBorder="1" applyAlignment="1">
      <alignment horizontal="right" vertical="center"/>
    </xf>
    <xf numFmtId="0" fontId="34" fillId="0" borderId="2" xfId="0" applyFont="1" applyBorder="1">
      <alignment vertical="center"/>
    </xf>
    <xf numFmtId="193" fontId="34" fillId="0" borderId="13" xfId="0" applyNumberFormat="1" applyFont="1" applyBorder="1">
      <alignment vertical="center"/>
    </xf>
    <xf numFmtId="196" fontId="31" fillId="6" borderId="36" xfId="1" applyNumberFormat="1" applyFont="1" applyFill="1" applyBorder="1" applyAlignment="1">
      <alignment horizontal="right" vertical="center" wrapText="1"/>
    </xf>
    <xf numFmtId="0" fontId="30" fillId="0" borderId="135" xfId="0" applyFont="1" applyFill="1" applyBorder="1" applyAlignment="1">
      <alignment horizontal="center" vertical="center" wrapText="1"/>
    </xf>
    <xf numFmtId="0" fontId="30" fillId="0" borderId="136" xfId="0" applyFont="1" applyFill="1" applyBorder="1" applyAlignment="1">
      <alignment horizontal="center" vertical="center" wrapText="1"/>
    </xf>
    <xf numFmtId="198" fontId="30" fillId="0" borderId="136" xfId="0" applyNumberFormat="1" applyFont="1" applyFill="1" applyBorder="1" applyAlignment="1">
      <alignment horizontal="center" vertical="center" wrapText="1"/>
    </xf>
    <xf numFmtId="202" fontId="30" fillId="0" borderId="136" xfId="1" applyNumberFormat="1" applyFont="1" applyFill="1" applyBorder="1" applyAlignment="1">
      <alignment horizontal="center" vertical="center" wrapText="1"/>
    </xf>
    <xf numFmtId="198" fontId="30" fillId="0" borderId="136" xfId="2" applyNumberFormat="1" applyFont="1" applyFill="1" applyBorder="1" applyAlignment="1">
      <alignment horizontal="center" vertical="center" wrapText="1"/>
    </xf>
    <xf numFmtId="202" fontId="30" fillId="0" borderId="137" xfId="2" applyNumberFormat="1" applyFont="1" applyFill="1" applyBorder="1" applyAlignment="1">
      <alignment horizontal="center" vertical="center" wrapText="1"/>
    </xf>
    <xf numFmtId="41" fontId="30" fillId="5" borderId="136" xfId="0" applyNumberFormat="1" applyFont="1" applyFill="1" applyBorder="1" applyAlignment="1">
      <alignment horizontal="right" vertical="center" wrapText="1"/>
    </xf>
    <xf numFmtId="198" fontId="30" fillId="5" borderId="136" xfId="0" applyNumberFormat="1" applyFont="1" applyFill="1" applyBorder="1" applyAlignment="1">
      <alignment horizontal="right" vertical="center" wrapText="1"/>
    </xf>
    <xf numFmtId="202" fontId="30" fillId="5" borderId="136" xfId="1" applyNumberFormat="1" applyFont="1" applyFill="1" applyBorder="1" applyAlignment="1">
      <alignment horizontal="right" vertical="center" wrapText="1"/>
    </xf>
    <xf numFmtId="198" fontId="30" fillId="5" borderId="136" xfId="2" applyNumberFormat="1" applyFont="1" applyFill="1" applyBorder="1" applyAlignment="1">
      <alignment horizontal="right" vertical="center" wrapText="1"/>
    </xf>
    <xf numFmtId="202" fontId="30" fillId="5" borderId="137" xfId="2" applyNumberFormat="1" applyFont="1" applyFill="1" applyBorder="1" applyAlignment="1">
      <alignment horizontal="right" vertical="center" wrapText="1"/>
    </xf>
    <xf numFmtId="41" fontId="33" fillId="6" borderId="136" xfId="0" applyNumberFormat="1" applyFont="1" applyFill="1" applyBorder="1" applyAlignment="1">
      <alignment horizontal="right" vertical="center" wrapText="1"/>
    </xf>
    <xf numFmtId="198" fontId="33" fillId="6" borderId="136" xfId="2" applyNumberFormat="1" applyFont="1" applyFill="1" applyBorder="1" applyAlignment="1">
      <alignment horizontal="right" vertical="center" wrapText="1"/>
    </xf>
    <xf numFmtId="202" fontId="33" fillId="6" borderId="136" xfId="1" applyNumberFormat="1" applyFont="1" applyFill="1" applyBorder="1" applyAlignment="1">
      <alignment horizontal="right" vertical="center" wrapText="1"/>
    </xf>
    <xf numFmtId="202" fontId="33" fillId="6" borderId="137" xfId="2" applyNumberFormat="1" applyFont="1" applyFill="1" applyBorder="1" applyAlignment="1">
      <alignment horizontal="right" vertical="center" wrapText="1"/>
    </xf>
    <xf numFmtId="41" fontId="33" fillId="4" borderId="136" xfId="0" applyNumberFormat="1" applyFont="1" applyFill="1" applyBorder="1" applyAlignment="1">
      <alignment horizontal="right" vertical="center" wrapText="1"/>
    </xf>
    <xf numFmtId="198" fontId="33" fillId="4" borderId="136" xfId="2" applyNumberFormat="1" applyFont="1" applyFill="1" applyBorder="1" applyAlignment="1">
      <alignment horizontal="right" vertical="center" wrapText="1"/>
    </xf>
    <xf numFmtId="202" fontId="33" fillId="4" borderId="136" xfId="1" applyNumberFormat="1" applyFont="1" applyFill="1" applyBorder="1" applyAlignment="1">
      <alignment horizontal="right" vertical="center" wrapText="1"/>
    </xf>
    <xf numFmtId="202" fontId="33" fillId="4" borderId="137" xfId="2" applyNumberFormat="1" applyFont="1" applyFill="1" applyBorder="1" applyAlignment="1">
      <alignment horizontal="right" vertical="center" wrapText="1"/>
    </xf>
    <xf numFmtId="0" fontId="30" fillId="0" borderId="136" xfId="0" applyFont="1" applyBorder="1" applyAlignment="1">
      <alignment horizontal="center" vertical="center" shrinkToFit="1"/>
    </xf>
    <xf numFmtId="41" fontId="33" fillId="0" borderId="136" xfId="0" applyNumberFormat="1" applyFont="1" applyBorder="1" applyAlignment="1">
      <alignment horizontal="right" vertical="center" wrapText="1"/>
    </xf>
    <xf numFmtId="198" fontId="33" fillId="0" borderId="136" xfId="2" applyNumberFormat="1" applyFont="1" applyBorder="1" applyAlignment="1">
      <alignment horizontal="right" vertical="center" wrapText="1"/>
    </xf>
    <xf numFmtId="202" fontId="33" fillId="0" borderId="136" xfId="1" applyNumberFormat="1" applyFont="1" applyBorder="1" applyAlignment="1">
      <alignment horizontal="right" vertical="center" wrapText="1"/>
    </xf>
    <xf numFmtId="202" fontId="33" fillId="0" borderId="137" xfId="2" applyNumberFormat="1" applyFont="1" applyBorder="1" applyAlignment="1">
      <alignment horizontal="right" vertical="center" wrapText="1"/>
    </xf>
    <xf numFmtId="202" fontId="33" fillId="0" borderId="137" xfId="1" applyNumberFormat="1" applyFont="1" applyBorder="1" applyAlignment="1">
      <alignment horizontal="right" vertical="center" wrapText="1"/>
    </xf>
    <xf numFmtId="199" fontId="33" fillId="4" borderId="136" xfId="0" applyNumberFormat="1" applyFont="1" applyFill="1" applyBorder="1" applyAlignment="1">
      <alignment horizontal="right" vertical="center" wrapText="1"/>
    </xf>
    <xf numFmtId="41" fontId="33" fillId="4" borderId="136" xfId="2" applyFont="1" applyFill="1" applyBorder="1" applyAlignment="1">
      <alignment horizontal="right" vertical="center" wrapText="1"/>
    </xf>
    <xf numFmtId="199" fontId="33" fillId="0" borderId="136" xfId="0" applyNumberFormat="1" applyFont="1" applyFill="1" applyBorder="1" applyAlignment="1">
      <alignment horizontal="right" vertical="center" wrapText="1"/>
    </xf>
    <xf numFmtId="41" fontId="33" fillId="0" borderId="136" xfId="2" applyFont="1" applyFill="1" applyBorder="1" applyAlignment="1">
      <alignment horizontal="right" vertical="center" wrapText="1"/>
    </xf>
    <xf numFmtId="196" fontId="33" fillId="0" borderId="137" xfId="1" applyNumberFormat="1" applyFont="1" applyBorder="1" applyAlignment="1">
      <alignment horizontal="right" vertical="center" wrapText="1"/>
    </xf>
    <xf numFmtId="0" fontId="42" fillId="0" borderId="141" xfId="0" applyFont="1" applyBorder="1">
      <alignment vertical="center"/>
    </xf>
    <xf numFmtId="0" fontId="42" fillId="0" borderId="0" xfId="0" applyFont="1">
      <alignment vertical="center"/>
    </xf>
    <xf numFmtId="0" fontId="42" fillId="0" borderId="42" xfId="0" applyFont="1" applyBorder="1">
      <alignment vertical="center"/>
    </xf>
    <xf numFmtId="0" fontId="43" fillId="0" borderId="142" xfId="0" applyFont="1" applyBorder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42" fillId="0" borderId="117" xfId="0" applyFont="1" applyBorder="1">
      <alignment vertical="center"/>
    </xf>
    <xf numFmtId="0" fontId="42" fillId="0" borderId="43" xfId="0" applyFont="1" applyBorder="1">
      <alignment vertical="center"/>
    </xf>
    <xf numFmtId="0" fontId="42" fillId="0" borderId="118" xfId="0" applyFont="1" applyBorder="1">
      <alignment vertical="center"/>
    </xf>
    <xf numFmtId="0" fontId="43" fillId="0" borderId="142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4" fillId="0" borderId="142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42" xfId="0" applyFont="1" applyBorder="1" applyAlignment="1">
      <alignment vertical="center" wrapText="1"/>
    </xf>
    <xf numFmtId="0" fontId="42" fillId="0" borderId="140" xfId="0" applyFont="1" applyBorder="1" applyAlignment="1">
      <alignment vertical="center"/>
    </xf>
    <xf numFmtId="0" fontId="42" fillId="0" borderId="141" xfId="0" applyFont="1" applyBorder="1" applyAlignment="1">
      <alignment vertical="center"/>
    </xf>
    <xf numFmtId="0" fontId="42" fillId="0" borderId="41" xfId="0" applyFont="1" applyBorder="1" applyAlignment="1">
      <alignment vertical="center"/>
    </xf>
    <xf numFmtId="0" fontId="47" fillId="0" borderId="142" xfId="0" applyFont="1" applyBorder="1" applyAlignment="1">
      <alignment vertical="center" wrapText="1"/>
    </xf>
    <xf numFmtId="0" fontId="48" fillId="0" borderId="42" xfId="0" applyFont="1" applyBorder="1">
      <alignment vertical="center"/>
    </xf>
    <xf numFmtId="0" fontId="49" fillId="0" borderId="0" xfId="0" applyFont="1">
      <alignment vertical="center"/>
    </xf>
    <xf numFmtId="202" fontId="31" fillId="0" borderId="63" xfId="1" applyNumberFormat="1" applyFont="1" applyBorder="1" applyAlignment="1">
      <alignment horizontal="right" vertical="center" wrapText="1"/>
    </xf>
    <xf numFmtId="49" fontId="28" fillId="0" borderId="43" xfId="2" applyNumberFormat="1" applyFont="1" applyFill="1" applyBorder="1" applyAlignment="1">
      <alignment vertical="center" shrinkToFit="1"/>
    </xf>
    <xf numFmtId="180" fontId="28" fillId="0" borderId="43" xfId="2" applyNumberFormat="1" applyFont="1" applyFill="1" applyBorder="1" applyAlignment="1">
      <alignment horizontal="right" vertical="center" shrinkToFit="1"/>
    </xf>
    <xf numFmtId="191" fontId="28" fillId="0" borderId="2" xfId="2" applyNumberFormat="1" applyFont="1" applyFill="1" applyBorder="1" applyAlignment="1">
      <alignment horizontal="right" vertical="center" shrinkToFi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199" fontId="33" fillId="6" borderId="144" xfId="0" applyNumberFormat="1" applyFont="1" applyFill="1" applyBorder="1" applyAlignment="1">
      <alignment horizontal="right" vertical="center" wrapText="1"/>
    </xf>
    <xf numFmtId="41" fontId="33" fillId="6" borderId="144" xfId="2" applyFont="1" applyFill="1" applyBorder="1" applyAlignment="1">
      <alignment horizontal="right" vertical="center" wrapText="1"/>
    </xf>
    <xf numFmtId="198" fontId="33" fillId="6" borderId="144" xfId="2" applyNumberFormat="1" applyFont="1" applyFill="1" applyBorder="1" applyAlignment="1">
      <alignment horizontal="right" vertical="center" wrapText="1"/>
    </xf>
    <xf numFmtId="202" fontId="33" fillId="6" borderId="145" xfId="2" applyNumberFormat="1" applyFont="1" applyFill="1" applyBorder="1" applyAlignment="1">
      <alignment horizontal="right" vertical="center" wrapText="1"/>
    </xf>
    <xf numFmtId="0" fontId="32" fillId="0" borderId="51" xfId="0" applyFont="1" applyBorder="1" applyAlignment="1">
      <alignment vertical="center" wrapText="1"/>
    </xf>
    <xf numFmtId="194" fontId="34" fillId="0" borderId="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180" fontId="28" fillId="0" borderId="2" xfId="2" applyNumberFormat="1" applyFont="1" applyFill="1" applyBorder="1" applyAlignment="1">
      <alignment horizontal="right" vertical="center" shrinkToFit="1"/>
    </xf>
    <xf numFmtId="183" fontId="28" fillId="0" borderId="2" xfId="2" applyNumberFormat="1" applyFont="1" applyFill="1" applyBorder="1" applyAlignment="1">
      <alignment horizontal="right" vertical="center"/>
    </xf>
    <xf numFmtId="194" fontId="28" fillId="0" borderId="4" xfId="2" applyNumberFormat="1" applyFont="1" applyFill="1" applyBorder="1" applyAlignment="1">
      <alignment horizontal="right" vertical="center"/>
    </xf>
    <xf numFmtId="180" fontId="28" fillId="0" borderId="4" xfId="2" applyNumberFormat="1" applyFont="1" applyFill="1" applyBorder="1" applyAlignment="1">
      <alignment horizontal="right" vertical="center" shrinkToFit="1"/>
    </xf>
    <xf numFmtId="183" fontId="28" fillId="0" borderId="4" xfId="2" applyNumberFormat="1" applyFont="1" applyFill="1" applyBorder="1" applyAlignment="1">
      <alignment horizontal="right" vertical="center"/>
    </xf>
    <xf numFmtId="49" fontId="28" fillId="0" borderId="5" xfId="2" applyNumberFormat="1" applyFont="1" applyFill="1" applyBorder="1" applyAlignment="1">
      <alignment vertical="center" shrinkToFit="1"/>
    </xf>
    <xf numFmtId="49" fontId="28" fillId="0" borderId="6" xfId="2" applyNumberFormat="1" applyFont="1" applyFill="1" applyBorder="1" applyAlignment="1">
      <alignment vertical="center" shrinkToFi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vertical="center" wrapText="1"/>
    </xf>
    <xf numFmtId="0" fontId="31" fillId="0" borderId="18" xfId="2" applyNumberFormat="1" applyFont="1" applyBorder="1" applyAlignment="1">
      <alignment horizontal="right" vertical="center" wrapText="1"/>
    </xf>
    <xf numFmtId="0" fontId="30" fillId="4" borderId="139" xfId="0" applyFont="1" applyFill="1" applyBorder="1" applyAlignment="1">
      <alignment horizontal="center" vertical="center" wrapText="1"/>
    </xf>
    <xf numFmtId="0" fontId="30" fillId="4" borderId="138" xfId="0" applyFont="1" applyFill="1" applyBorder="1" applyAlignment="1">
      <alignment horizontal="center" vertical="center" wrapText="1"/>
    </xf>
    <xf numFmtId="0" fontId="30" fillId="0" borderId="136" xfId="0" applyFont="1" applyBorder="1" applyAlignment="1">
      <alignment horizontal="center" vertical="center" wrapText="1"/>
    </xf>
    <xf numFmtId="191" fontId="28" fillId="0" borderId="0" xfId="2" applyNumberFormat="1" applyFont="1" applyFill="1" applyBorder="1" applyAlignment="1">
      <alignment horizontal="right" vertical="center" shrinkToFit="1"/>
    </xf>
    <xf numFmtId="193" fontId="28" fillId="0" borderId="9" xfId="0" applyNumberFormat="1" applyFont="1" applyBorder="1" applyAlignment="1">
      <alignment vertical="center"/>
    </xf>
    <xf numFmtId="202" fontId="31" fillId="0" borderId="36" xfId="1" applyNumberFormat="1" applyFont="1" applyBorder="1" applyAlignment="1">
      <alignment horizontal="right" vertical="center" wrapText="1"/>
    </xf>
    <xf numFmtId="177" fontId="28" fillId="0" borderId="2" xfId="2" applyNumberFormat="1" applyFont="1" applyFill="1" applyBorder="1" applyAlignment="1">
      <alignment horizontal="right" vertic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49" fontId="28" fillId="0" borderId="5" xfId="2" applyNumberFormat="1" applyFont="1" applyFill="1" applyBorder="1" applyAlignment="1">
      <alignment horizontal="right" vertical="center" shrinkToFit="1"/>
    </xf>
    <xf numFmtId="42" fontId="28" fillId="0" borderId="5" xfId="2" applyNumberFormat="1" applyFont="1" applyFill="1" applyBorder="1" applyAlignment="1">
      <alignment horizontal="right" vertical="center" shrinkToFit="1"/>
    </xf>
    <xf numFmtId="42" fontId="28" fillId="0" borderId="5" xfId="2" applyNumberFormat="1" applyFont="1" applyFill="1" applyBorder="1" applyAlignment="1">
      <alignment horizontal="left" vertical="center" shrinkToFit="1"/>
    </xf>
    <xf numFmtId="0" fontId="30" fillId="0" borderId="138" xfId="0" applyFont="1" applyBorder="1" applyAlignment="1">
      <alignment horizontal="center" vertical="center" wrapText="1"/>
    </xf>
    <xf numFmtId="0" fontId="32" fillId="0" borderId="143" xfId="0" applyFont="1" applyBorder="1" applyAlignment="1">
      <alignment horizontal="center" vertical="center" wrapText="1"/>
    </xf>
    <xf numFmtId="0" fontId="28" fillId="0" borderId="75" xfId="0" applyFont="1" applyFill="1" applyBorder="1" applyAlignment="1">
      <alignment horizontal="center" vertical="center"/>
    </xf>
    <xf numFmtId="0" fontId="30" fillId="0" borderId="154" xfId="0" applyFont="1" applyFill="1" applyBorder="1" applyAlignment="1">
      <alignment horizontal="center" vertical="center" wrapText="1"/>
    </xf>
    <xf numFmtId="196" fontId="28" fillId="0" borderId="11" xfId="2" applyNumberFormat="1" applyFont="1" applyFill="1" applyBorder="1">
      <alignment vertical="center"/>
    </xf>
    <xf numFmtId="0" fontId="30" fillId="0" borderId="159" xfId="0" applyFont="1" applyBorder="1" applyAlignment="1">
      <alignment horizontal="center" vertical="center" wrapText="1"/>
    </xf>
    <xf numFmtId="199" fontId="33" fillId="0" borderId="159" xfId="0" applyNumberFormat="1" applyFont="1" applyFill="1" applyBorder="1" applyAlignment="1">
      <alignment horizontal="right" vertical="center" wrapText="1"/>
    </xf>
    <xf numFmtId="200" fontId="33" fillId="0" borderId="159" xfId="0" applyNumberFormat="1" applyFont="1" applyFill="1" applyBorder="1" applyAlignment="1">
      <alignment horizontal="right" vertical="center" wrapText="1"/>
    </xf>
    <xf numFmtId="198" fontId="33" fillId="0" borderId="159" xfId="2" applyNumberFormat="1" applyFont="1" applyBorder="1" applyAlignment="1">
      <alignment horizontal="right" vertical="center" wrapText="1"/>
    </xf>
    <xf numFmtId="196" fontId="33" fillId="0" borderId="160" xfId="2" applyNumberFormat="1" applyFont="1" applyBorder="1" applyAlignment="1">
      <alignment horizontal="right" vertical="center" wrapText="1"/>
    </xf>
    <xf numFmtId="0" fontId="30" fillId="0" borderId="85" xfId="0" applyFont="1" applyBorder="1" applyAlignment="1">
      <alignment horizontal="center" vertical="center" wrapText="1"/>
    </xf>
    <xf numFmtId="198" fontId="23" fillId="0" borderId="94" xfId="5" applyNumberFormat="1" applyFont="1" applyBorder="1" applyAlignment="1">
      <alignment horizontal="left" vertical="center" wrapText="1"/>
    </xf>
    <xf numFmtId="0" fontId="32" fillId="0" borderId="161" xfId="0" applyFont="1" applyBorder="1" applyAlignment="1">
      <alignment horizontal="center" vertical="center" shrinkToFit="1"/>
    </xf>
    <xf numFmtId="0" fontId="37" fillId="0" borderId="131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36" xfId="0" applyFont="1" applyBorder="1" applyAlignment="1">
      <alignment vertical="center" wrapText="1"/>
    </xf>
    <xf numFmtId="0" fontId="30" fillId="0" borderId="138" xfId="0" applyFont="1" applyBorder="1" applyAlignment="1">
      <alignment horizontal="center" vertical="center" shrinkToFit="1"/>
    </xf>
    <xf numFmtId="0" fontId="31" fillId="0" borderId="25" xfId="0" applyFont="1" applyFill="1" applyBorder="1" applyAlignment="1">
      <alignment horizontal="center" vertical="center" wrapText="1"/>
    </xf>
    <xf numFmtId="41" fontId="31" fillId="0" borderId="25" xfId="2" applyFont="1" applyFill="1" applyBorder="1" applyAlignment="1">
      <alignment horizontal="right" vertical="center" wrapText="1"/>
    </xf>
    <xf numFmtId="41" fontId="31" fillId="0" borderId="25" xfId="0" applyNumberFormat="1" applyFont="1" applyFill="1" applyBorder="1" applyAlignment="1">
      <alignment horizontal="right" vertical="center" wrapText="1"/>
    </xf>
    <xf numFmtId="198" fontId="31" fillId="0" borderId="25" xfId="2" applyNumberFormat="1" applyFont="1" applyFill="1" applyBorder="1" applyAlignment="1">
      <alignment horizontal="right" vertical="center" wrapText="1"/>
    </xf>
    <xf numFmtId="202" fontId="31" fillId="0" borderId="25" xfId="2" quotePrefix="1" applyNumberFormat="1" applyFont="1" applyFill="1" applyBorder="1" applyAlignment="1">
      <alignment horizontal="right" vertical="center" wrapText="1"/>
    </xf>
    <xf numFmtId="49" fontId="28" fillId="0" borderId="11" xfId="2" applyNumberFormat="1" applyFont="1" applyFill="1" applyBorder="1" applyAlignment="1">
      <alignment horizontal="right" vertical="center"/>
    </xf>
    <xf numFmtId="194" fontId="28" fillId="0" borderId="11" xfId="2" applyNumberFormat="1" applyFont="1" applyFill="1" applyBorder="1" applyAlignment="1">
      <alignment horizontal="right" vertical="center"/>
    </xf>
    <xf numFmtId="41" fontId="28" fillId="0" borderId="11" xfId="2" applyFont="1" applyFill="1" applyBorder="1" applyAlignment="1">
      <alignment horizontal="center" vertical="center"/>
    </xf>
    <xf numFmtId="180" fontId="28" fillId="0" borderId="11" xfId="2" applyNumberFormat="1" applyFont="1" applyFill="1" applyBorder="1" applyAlignment="1">
      <alignment horizontal="right" vertical="center" shrinkToFit="1"/>
    </xf>
    <xf numFmtId="183" fontId="28" fillId="0" borderId="11" xfId="2" applyNumberFormat="1" applyFont="1" applyFill="1" applyBorder="1" applyAlignment="1">
      <alignment horizontal="right" vertical="center"/>
    </xf>
    <xf numFmtId="186" fontId="28" fillId="0" borderId="11" xfId="2" applyNumberFormat="1" applyFont="1" applyFill="1" applyBorder="1" applyAlignment="1">
      <alignment horizontal="right" vertical="center"/>
    </xf>
    <xf numFmtId="194" fontId="28" fillId="0" borderId="12" xfId="2" applyNumberFormat="1" applyFont="1" applyFill="1" applyBorder="1" applyAlignment="1">
      <alignment horizontal="right" vertical="center"/>
    </xf>
    <xf numFmtId="0" fontId="31" fillId="0" borderId="18" xfId="0" applyFont="1" applyFill="1" applyBorder="1" applyAlignment="1">
      <alignment horizontal="center" vertical="center" wrapText="1"/>
    </xf>
    <xf numFmtId="0" fontId="30" fillId="4" borderId="139" xfId="0" applyFont="1" applyFill="1" applyBorder="1" applyAlignment="1">
      <alignment horizontal="center" vertical="center" wrapText="1"/>
    </xf>
    <xf numFmtId="0" fontId="30" fillId="4" borderId="138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203" fontId="28" fillId="0" borderId="0" xfId="2" applyNumberFormat="1" applyFont="1" applyFill="1" applyBorder="1" applyAlignment="1">
      <alignment horizontal="right" vertical="center"/>
    </xf>
    <xf numFmtId="42" fontId="31" fillId="0" borderId="5" xfId="2" applyNumberFormat="1" applyFont="1" applyFill="1" applyBorder="1" applyAlignment="1">
      <alignment horizontal="left" vertical="center" shrinkToFit="1"/>
    </xf>
    <xf numFmtId="49" fontId="28" fillId="0" borderId="6" xfId="2" applyNumberFormat="1" applyFont="1" applyFill="1" applyBorder="1" applyAlignment="1">
      <alignment horizontal="right" vertical="center" shrinkToFit="1"/>
    </xf>
    <xf numFmtId="204" fontId="28" fillId="0" borderId="0" xfId="2" applyNumberFormat="1" applyFont="1" applyFill="1" applyBorder="1" applyAlignment="1">
      <alignment horizontal="right" vertical="center"/>
    </xf>
    <xf numFmtId="193" fontId="28" fillId="0" borderId="2" xfId="2" applyNumberFormat="1" applyFont="1" applyFill="1" applyBorder="1" applyAlignment="1">
      <alignment horizontal="right" vertical="center"/>
    </xf>
    <xf numFmtId="10" fontId="28" fillId="0" borderId="2" xfId="0" applyNumberFormat="1" applyFont="1" applyFill="1" applyBorder="1" applyAlignment="1" applyProtection="1">
      <alignment horizontal="right" vertical="center" shrinkToFit="1"/>
    </xf>
    <xf numFmtId="9" fontId="28" fillId="0" borderId="2" xfId="2" applyNumberFormat="1" applyFont="1" applyFill="1" applyBorder="1" applyAlignment="1">
      <alignment horizontal="right" vertical="center"/>
    </xf>
    <xf numFmtId="0" fontId="32" fillId="0" borderId="143" xfId="0" applyFont="1" applyBorder="1" applyAlignment="1">
      <alignment vertical="center" shrinkToFit="1"/>
    </xf>
    <xf numFmtId="0" fontId="32" fillId="0" borderId="75" xfId="0" applyFont="1" applyBorder="1" applyAlignment="1">
      <alignment vertical="center" shrinkToFit="1"/>
    </xf>
    <xf numFmtId="0" fontId="32" fillId="0" borderId="144" xfId="0" applyFont="1" applyBorder="1" applyAlignment="1">
      <alignment vertical="center" shrinkToFit="1"/>
    </xf>
    <xf numFmtId="0" fontId="30" fillId="0" borderId="143" xfId="0" applyFont="1" applyBorder="1" applyAlignment="1">
      <alignment vertical="center" wrapText="1"/>
    </xf>
    <xf numFmtId="0" fontId="30" fillId="0" borderId="75" xfId="0" applyFont="1" applyBorder="1" applyAlignment="1">
      <alignment vertical="center" wrapText="1"/>
    </xf>
    <xf numFmtId="0" fontId="30" fillId="0" borderId="144" xfId="0" applyFont="1" applyBorder="1" applyAlignment="1">
      <alignment vertical="center" wrapText="1"/>
    </xf>
    <xf numFmtId="0" fontId="30" fillId="0" borderId="136" xfId="0" applyFont="1" applyBorder="1" applyAlignment="1">
      <alignment vertical="center" wrapText="1"/>
    </xf>
    <xf numFmtId="0" fontId="30" fillId="0" borderId="159" xfId="0" applyFont="1" applyBorder="1" applyAlignment="1">
      <alignment vertical="center" wrapText="1"/>
    </xf>
    <xf numFmtId="49" fontId="31" fillId="0" borderId="3" xfId="2" applyNumberFormat="1" applyFont="1" applyFill="1" applyBorder="1" applyAlignment="1">
      <alignment vertical="center" shrinkToFit="1"/>
    </xf>
    <xf numFmtId="13" fontId="28" fillId="0" borderId="2" xfId="2" applyNumberFormat="1" applyFont="1" applyFill="1" applyBorder="1" applyAlignment="1">
      <alignment horizontal="right" vertical="center"/>
    </xf>
    <xf numFmtId="0" fontId="31" fillId="0" borderId="18" xfId="0" applyFont="1" applyFill="1" applyBorder="1" applyAlignment="1">
      <alignment horizontal="center" vertical="center" shrinkToFit="1"/>
    </xf>
    <xf numFmtId="0" fontId="31" fillId="0" borderId="36" xfId="0" applyFont="1" applyFill="1" applyBorder="1" applyAlignment="1">
      <alignment horizontal="center" vertical="center" shrinkToFit="1"/>
    </xf>
    <xf numFmtId="0" fontId="31" fillId="0" borderId="17" xfId="0" applyFont="1" applyFill="1" applyBorder="1" applyAlignment="1">
      <alignment horizontal="center" vertical="center" shrinkToFit="1"/>
    </xf>
    <xf numFmtId="180" fontId="28" fillId="0" borderId="2" xfId="2" applyNumberFormat="1" applyFont="1" applyFill="1" applyBorder="1" applyAlignment="1">
      <alignment horizontal="right" vertical="center"/>
    </xf>
    <xf numFmtId="181" fontId="28" fillId="0" borderId="2" xfId="2" applyNumberFormat="1" applyFont="1" applyFill="1" applyBorder="1" applyAlignment="1">
      <alignment horizontal="right" vertical="center"/>
    </xf>
    <xf numFmtId="0" fontId="31" fillId="0" borderId="163" xfId="0" applyFont="1" applyBorder="1" applyAlignment="1">
      <alignment vertical="center" wrapText="1"/>
    </xf>
    <xf numFmtId="0" fontId="31" fillId="0" borderId="43" xfId="0" applyFont="1" applyBorder="1" applyAlignment="1">
      <alignment vertical="center" wrapText="1"/>
    </xf>
    <xf numFmtId="202" fontId="31" fillId="0" borderId="63" xfId="2" applyNumberFormat="1" applyFont="1" applyBorder="1" applyAlignment="1">
      <alignment horizontal="right" vertical="center" wrapText="1"/>
    </xf>
    <xf numFmtId="181" fontId="28" fillId="0" borderId="43" xfId="2" applyNumberFormat="1" applyFont="1" applyFill="1" applyBorder="1" applyAlignment="1">
      <alignment horizontal="right" vertical="center"/>
    </xf>
    <xf numFmtId="186" fontId="28" fillId="0" borderId="43" xfId="2" applyNumberFormat="1" applyFont="1" applyFill="1" applyBorder="1" applyAlignment="1">
      <alignment horizontal="right" vertical="center"/>
    </xf>
    <xf numFmtId="194" fontId="28" fillId="0" borderId="64" xfId="2" applyNumberFormat="1" applyFont="1" applyFill="1" applyBorder="1" applyAlignment="1">
      <alignment horizontal="right" vertical="center"/>
    </xf>
    <xf numFmtId="0" fontId="30" fillId="6" borderId="139" xfId="0" applyFont="1" applyFill="1" applyBorder="1" applyAlignment="1">
      <alignment horizontal="center" vertical="center" wrapText="1"/>
    </xf>
    <xf numFmtId="0" fontId="30" fillId="6" borderId="60" xfId="0" applyFont="1" applyFill="1" applyBorder="1" applyAlignment="1">
      <alignment horizontal="center" vertical="center" wrapText="1"/>
    </xf>
    <xf numFmtId="0" fontId="30" fillId="6" borderId="138" xfId="0" applyFont="1" applyFill="1" applyBorder="1" applyAlignment="1">
      <alignment horizontal="center" vertical="center" wrapText="1"/>
    </xf>
    <xf numFmtId="0" fontId="30" fillId="4" borderId="139" xfId="0" applyFont="1" applyFill="1" applyBorder="1" applyAlignment="1">
      <alignment horizontal="center" vertical="center" wrapText="1"/>
    </xf>
    <xf numFmtId="0" fontId="30" fillId="4" borderId="138" xfId="0" applyFont="1" applyFill="1" applyBorder="1" applyAlignment="1">
      <alignment horizontal="center" vertical="center" wrapText="1"/>
    </xf>
    <xf numFmtId="0" fontId="32" fillId="0" borderId="143" xfId="0" applyFont="1" applyBorder="1" applyAlignment="1">
      <alignment horizontal="center" vertical="center" wrapText="1"/>
    </xf>
    <xf numFmtId="41" fontId="33" fillId="4" borderId="144" xfId="0" applyNumberFormat="1" applyFont="1" applyFill="1" applyBorder="1" applyAlignment="1">
      <alignment horizontal="right" vertical="center" wrapText="1"/>
    </xf>
    <xf numFmtId="198" fontId="33" fillId="4" borderId="144" xfId="2" applyNumberFormat="1" applyFont="1" applyFill="1" applyBorder="1" applyAlignment="1">
      <alignment horizontal="right" vertical="center" wrapText="1"/>
    </xf>
    <xf numFmtId="202" fontId="33" fillId="4" borderId="145" xfId="2" applyNumberFormat="1" applyFont="1" applyFill="1" applyBorder="1" applyAlignment="1">
      <alignment horizontal="right" vertical="center" wrapText="1"/>
    </xf>
    <xf numFmtId="0" fontId="28" fillId="0" borderId="118" xfId="0" applyFont="1" applyFill="1" applyBorder="1" applyAlignment="1">
      <alignment horizontal="center" vertical="center"/>
    </xf>
    <xf numFmtId="0" fontId="30" fillId="0" borderId="94" xfId="0" applyFont="1" applyBorder="1" applyAlignment="1">
      <alignment horizontal="center" vertical="center" wrapText="1"/>
    </xf>
    <xf numFmtId="41" fontId="33" fillId="0" borderId="170" xfId="0" applyNumberFormat="1" applyFont="1" applyBorder="1" applyAlignment="1">
      <alignment horizontal="right" vertical="center" wrapText="1"/>
    </xf>
    <xf numFmtId="198" fontId="33" fillId="0" borderId="170" xfId="2" applyNumberFormat="1" applyFont="1" applyBorder="1" applyAlignment="1">
      <alignment horizontal="right" vertical="center" wrapText="1"/>
    </xf>
    <xf numFmtId="202" fontId="33" fillId="0" borderId="171" xfId="2" applyNumberFormat="1" applyFont="1" applyBorder="1" applyAlignment="1">
      <alignment horizontal="right" vertical="center" wrapText="1"/>
    </xf>
    <xf numFmtId="0" fontId="30" fillId="0" borderId="96" xfId="0" applyFont="1" applyBorder="1" applyAlignment="1">
      <alignment horizontal="center" vertical="center" wrapText="1"/>
    </xf>
    <xf numFmtId="41" fontId="33" fillId="0" borderId="144" xfId="0" applyNumberFormat="1" applyFont="1" applyBorder="1" applyAlignment="1">
      <alignment horizontal="right" vertical="center" wrapText="1"/>
    </xf>
    <xf numFmtId="198" fontId="33" fillId="0" borderId="144" xfId="2" applyNumberFormat="1" applyFont="1" applyBorder="1" applyAlignment="1">
      <alignment horizontal="right" vertical="center" wrapText="1"/>
    </xf>
    <xf numFmtId="202" fontId="33" fillId="0" borderId="145" xfId="2" applyNumberFormat="1" applyFont="1" applyBorder="1" applyAlignment="1">
      <alignment horizontal="right" vertical="center" wrapText="1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1" fontId="8" fillId="2" borderId="1" xfId="1" applyNumberFormat="1" applyFont="1" applyFill="1" applyBorder="1" applyAlignment="1">
      <alignment horizontal="center" vertical="center"/>
    </xf>
    <xf numFmtId="41" fontId="8" fillId="0" borderId="1" xfId="2" applyNumberFormat="1" applyFont="1" applyBorder="1" applyAlignment="1">
      <alignment horizontal="center" vertical="center"/>
    </xf>
    <xf numFmtId="41" fontId="8" fillId="2" borderId="18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5" xfId="0" applyBorder="1" applyAlignment="1">
      <alignment vertical="center"/>
    </xf>
    <xf numFmtId="41" fontId="9" fillId="2" borderId="1" xfId="0" applyNumberFormat="1" applyFont="1" applyFill="1" applyBorder="1" applyAlignment="1">
      <alignment horizontal="center" vertical="center"/>
    </xf>
    <xf numFmtId="41" fontId="9" fillId="2" borderId="1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textRotation="255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4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 textRotation="255"/>
    </xf>
    <xf numFmtId="4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1" fontId="7" fillId="2" borderId="19" xfId="0" applyNumberFormat="1" applyFont="1" applyFill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1" fontId="8" fillId="0" borderId="15" xfId="2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41" fontId="10" fillId="0" borderId="0" xfId="2" applyFont="1" applyBorder="1" applyAlignment="1">
      <alignment horizontal="center" vertical="center"/>
    </xf>
    <xf numFmtId="41" fontId="8" fillId="2" borderId="15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41" fontId="8" fillId="0" borderId="15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/>
    </xf>
    <xf numFmtId="0" fontId="46" fillId="0" borderId="0" xfId="0" applyFont="1" applyAlignment="1">
      <alignment horizontal="center" vertical="center" wrapText="1"/>
    </xf>
    <xf numFmtId="0" fontId="45" fillId="0" borderId="142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30" fillId="5" borderId="70" xfId="0" applyFont="1" applyFill="1" applyBorder="1" applyAlignment="1">
      <alignment horizontal="center" vertical="center" wrapText="1"/>
    </xf>
    <xf numFmtId="0" fontId="30" fillId="5" borderId="60" xfId="0" applyFont="1" applyFill="1" applyBorder="1" applyAlignment="1">
      <alignment horizontal="center" vertical="center" wrapText="1"/>
    </xf>
    <xf numFmtId="0" fontId="30" fillId="5" borderId="138" xfId="0" applyFont="1" applyFill="1" applyBorder="1" applyAlignment="1">
      <alignment horizontal="center" vertical="center" wrapText="1"/>
    </xf>
    <xf numFmtId="0" fontId="31" fillId="6" borderId="70" xfId="0" applyFont="1" applyFill="1" applyBorder="1" applyAlignment="1">
      <alignment horizontal="center" vertical="center"/>
    </xf>
    <xf numFmtId="0" fontId="31" fillId="6" borderId="60" xfId="0" applyFont="1" applyFill="1" applyBorder="1" applyAlignment="1">
      <alignment horizontal="center" vertical="center"/>
    </xf>
    <xf numFmtId="0" fontId="31" fillId="6" borderId="138" xfId="0" applyFont="1" applyFill="1" applyBorder="1" applyAlignment="1">
      <alignment horizontal="center" vertical="center"/>
    </xf>
    <xf numFmtId="0" fontId="30" fillId="5" borderId="139" xfId="0" applyFont="1" applyFill="1" applyBorder="1" applyAlignment="1">
      <alignment horizontal="center" vertical="center" wrapText="1"/>
    </xf>
    <xf numFmtId="0" fontId="30" fillId="4" borderId="139" xfId="0" applyFont="1" applyFill="1" applyBorder="1" applyAlignment="1">
      <alignment horizontal="center" vertical="center" wrapText="1"/>
    </xf>
    <xf numFmtId="0" fontId="30" fillId="4" borderId="138" xfId="0" applyFont="1" applyFill="1" applyBorder="1" applyAlignment="1">
      <alignment horizontal="center" vertical="center" wrapText="1"/>
    </xf>
    <xf numFmtId="0" fontId="31" fillId="6" borderId="139" xfId="0" applyFont="1" applyFill="1" applyBorder="1" applyAlignment="1">
      <alignment horizontal="center" vertical="center"/>
    </xf>
    <xf numFmtId="0" fontId="30" fillId="0" borderId="146" xfId="0" applyFont="1" applyBorder="1" applyAlignment="1">
      <alignment horizontal="center" vertical="center" wrapText="1"/>
    </xf>
    <xf numFmtId="0" fontId="30" fillId="0" borderId="147" xfId="0" applyFont="1" applyBorder="1" applyAlignment="1">
      <alignment horizontal="center" vertical="center" wrapText="1"/>
    </xf>
    <xf numFmtId="0" fontId="30" fillId="0" borderId="148" xfId="0" applyFont="1" applyBorder="1" applyAlignment="1">
      <alignment horizontal="center" vertical="center" wrapText="1"/>
    </xf>
    <xf numFmtId="0" fontId="30" fillId="0" borderId="149" xfId="0" applyFont="1" applyBorder="1" applyAlignment="1">
      <alignment horizontal="center" vertical="center" wrapText="1"/>
    </xf>
    <xf numFmtId="0" fontId="30" fillId="0" borderId="150" xfId="0" applyFont="1" applyBorder="1" applyAlignment="1">
      <alignment horizontal="center" vertical="center" wrapText="1"/>
    </xf>
    <xf numFmtId="0" fontId="30" fillId="0" borderId="151" xfId="0" applyFont="1" applyBorder="1" applyAlignment="1">
      <alignment horizontal="center" vertical="center" wrapText="1"/>
    </xf>
    <xf numFmtId="0" fontId="30" fillId="0" borderId="172" xfId="0" applyFont="1" applyBorder="1" applyAlignment="1">
      <alignment horizontal="center" vertical="center" wrapText="1"/>
    </xf>
    <xf numFmtId="0" fontId="30" fillId="0" borderId="173" xfId="0" applyFont="1" applyBorder="1" applyAlignment="1">
      <alignment horizontal="center" vertical="center" wrapText="1"/>
    </xf>
    <xf numFmtId="0" fontId="30" fillId="0" borderId="174" xfId="0" applyFont="1" applyBorder="1" applyAlignment="1">
      <alignment horizontal="center" vertical="center" wrapText="1"/>
    </xf>
    <xf numFmtId="0" fontId="30" fillId="0" borderId="135" xfId="0" applyFont="1" applyBorder="1" applyAlignment="1">
      <alignment horizontal="center" vertical="center" wrapText="1"/>
    </xf>
    <xf numFmtId="0" fontId="30" fillId="6" borderId="139" xfId="0" applyFont="1" applyFill="1" applyBorder="1" applyAlignment="1">
      <alignment horizontal="center" vertical="center" wrapText="1"/>
    </xf>
    <xf numFmtId="0" fontId="30" fillId="6" borderId="60" xfId="0" applyFont="1" applyFill="1" applyBorder="1" applyAlignment="1">
      <alignment horizontal="center" vertical="center" wrapText="1"/>
    </xf>
    <xf numFmtId="0" fontId="30" fillId="6" borderId="138" xfId="0" applyFont="1" applyFill="1" applyBorder="1" applyAlignment="1">
      <alignment horizontal="center" vertical="center" wrapText="1"/>
    </xf>
    <xf numFmtId="0" fontId="32" fillId="0" borderId="143" xfId="0" applyFont="1" applyBorder="1" applyAlignment="1">
      <alignment horizontal="center" vertical="center" shrinkToFit="1"/>
    </xf>
    <xf numFmtId="0" fontId="32" fillId="0" borderId="75" xfId="0" applyFont="1" applyBorder="1" applyAlignment="1">
      <alignment horizontal="center" vertical="center" shrinkToFit="1"/>
    </xf>
    <xf numFmtId="0" fontId="30" fillId="0" borderId="143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0" fillId="0" borderId="16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9" fillId="0" borderId="11" xfId="0" applyFont="1" applyBorder="1" applyAlignment="1">
      <alignment horizontal="right" vertical="center"/>
    </xf>
    <xf numFmtId="0" fontId="30" fillId="3" borderId="115" xfId="0" applyFont="1" applyFill="1" applyBorder="1" applyAlignment="1">
      <alignment horizontal="center" vertical="center" wrapText="1"/>
    </xf>
    <xf numFmtId="0" fontId="30" fillId="3" borderId="113" xfId="0" applyFont="1" applyFill="1" applyBorder="1" applyAlignment="1">
      <alignment horizontal="center" vertical="center" wrapText="1"/>
    </xf>
    <xf numFmtId="0" fontId="30" fillId="3" borderId="116" xfId="0" applyFont="1" applyFill="1" applyBorder="1" applyAlignment="1">
      <alignment horizontal="center" vertical="center" wrapText="1"/>
    </xf>
    <xf numFmtId="0" fontId="30" fillId="3" borderId="112" xfId="0" applyFont="1" applyFill="1" applyBorder="1" applyAlignment="1">
      <alignment horizontal="center" vertical="center" wrapText="1"/>
    </xf>
    <xf numFmtId="0" fontId="30" fillId="3" borderId="114" xfId="0" applyFont="1" applyFill="1" applyBorder="1" applyAlignment="1">
      <alignment horizontal="center" vertical="center" wrapText="1"/>
    </xf>
    <xf numFmtId="0" fontId="31" fillId="0" borderId="133" xfId="0" applyFont="1" applyFill="1" applyBorder="1" applyAlignment="1">
      <alignment horizontal="center" vertical="center" wrapText="1"/>
    </xf>
    <xf numFmtId="0" fontId="31" fillId="0" borderId="136" xfId="0" applyFont="1" applyFill="1" applyBorder="1" applyAlignment="1">
      <alignment horizontal="center" vertical="center" wrapText="1"/>
    </xf>
    <xf numFmtId="0" fontId="30" fillId="0" borderId="134" xfId="0" applyFont="1" applyFill="1" applyBorder="1" applyAlignment="1">
      <alignment horizontal="center" vertical="center" wrapText="1"/>
    </xf>
    <xf numFmtId="0" fontId="30" fillId="0" borderId="93" xfId="0" applyFont="1" applyFill="1" applyBorder="1" applyAlignment="1">
      <alignment horizontal="center" vertical="center" wrapText="1"/>
    </xf>
    <xf numFmtId="0" fontId="30" fillId="0" borderId="81" xfId="0" applyFont="1" applyFill="1" applyBorder="1" applyAlignment="1">
      <alignment horizontal="center" vertical="center" wrapText="1"/>
    </xf>
    <xf numFmtId="0" fontId="30" fillId="0" borderId="107" xfId="0" applyFont="1" applyFill="1" applyBorder="1" applyAlignment="1">
      <alignment horizontal="center" vertical="center" wrapText="1"/>
    </xf>
    <xf numFmtId="0" fontId="30" fillId="0" borderId="80" xfId="0" applyFont="1" applyFill="1" applyBorder="1" applyAlignment="1">
      <alignment horizontal="center" vertical="center" wrapText="1"/>
    </xf>
    <xf numFmtId="0" fontId="32" fillId="0" borderId="143" xfId="0" applyFont="1" applyBorder="1" applyAlignment="1">
      <alignment horizontal="center" vertical="center" wrapText="1"/>
    </xf>
    <xf numFmtId="0" fontId="32" fillId="0" borderId="14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169" xfId="0" applyFont="1" applyBorder="1" applyAlignment="1">
      <alignment horizontal="center" vertical="center" wrapText="1"/>
    </xf>
    <xf numFmtId="0" fontId="30" fillId="0" borderId="155" xfId="0" applyFont="1" applyBorder="1" applyAlignment="1">
      <alignment horizontal="center" vertical="center" wrapText="1"/>
    </xf>
    <xf numFmtId="0" fontId="30" fillId="0" borderId="152" xfId="0" applyFont="1" applyBorder="1" applyAlignment="1">
      <alignment horizontal="center" vertical="center" wrapText="1"/>
    </xf>
    <xf numFmtId="0" fontId="30" fillId="0" borderId="153" xfId="0" applyFont="1" applyBorder="1" applyAlignment="1">
      <alignment horizontal="center" vertical="center" wrapText="1"/>
    </xf>
    <xf numFmtId="0" fontId="30" fillId="0" borderId="156" xfId="0" applyFont="1" applyBorder="1" applyAlignment="1">
      <alignment horizontal="center" vertical="center" wrapText="1"/>
    </xf>
    <xf numFmtId="0" fontId="30" fillId="0" borderId="157" xfId="0" applyFont="1" applyBorder="1" applyAlignment="1">
      <alignment horizontal="center" vertical="center" wrapText="1"/>
    </xf>
    <xf numFmtId="0" fontId="30" fillId="0" borderId="158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159" xfId="0" applyFont="1" applyBorder="1" applyAlignment="1">
      <alignment horizontal="center" vertical="center" wrapText="1"/>
    </xf>
    <xf numFmtId="0" fontId="30" fillId="4" borderId="165" xfId="0" applyFont="1" applyFill="1" applyBorder="1" applyAlignment="1">
      <alignment horizontal="center" vertical="center" wrapText="1"/>
    </xf>
    <xf numFmtId="0" fontId="30" fillId="4" borderId="96" xfId="0" applyFont="1" applyFill="1" applyBorder="1" applyAlignment="1">
      <alignment horizontal="center" vertical="center" wrapText="1"/>
    </xf>
    <xf numFmtId="0" fontId="30" fillId="0" borderId="166" xfId="0" applyFont="1" applyBorder="1" applyAlignment="1">
      <alignment horizontal="center" vertical="center" wrapText="1"/>
    </xf>
    <xf numFmtId="0" fontId="30" fillId="0" borderId="167" xfId="0" applyFont="1" applyBorder="1" applyAlignment="1">
      <alignment horizontal="center" vertical="center" wrapText="1"/>
    </xf>
    <xf numFmtId="0" fontId="30" fillId="0" borderId="168" xfId="0" applyFont="1" applyBorder="1" applyAlignment="1">
      <alignment horizontal="center" vertical="center" wrapText="1"/>
    </xf>
    <xf numFmtId="0" fontId="30" fillId="0" borderId="75" xfId="0" applyFont="1" applyFill="1" applyBorder="1" applyAlignment="1">
      <alignment horizontal="center" vertical="center" wrapText="1"/>
    </xf>
    <xf numFmtId="0" fontId="30" fillId="0" borderId="169" xfId="0" applyFont="1" applyFill="1" applyBorder="1" applyAlignment="1">
      <alignment horizontal="center" vertical="center" wrapText="1"/>
    </xf>
    <xf numFmtId="0" fontId="30" fillId="0" borderId="144" xfId="0" applyFont="1" applyFill="1" applyBorder="1" applyAlignment="1">
      <alignment horizontal="center" vertical="center" wrapText="1"/>
    </xf>
    <xf numFmtId="0" fontId="38" fillId="6" borderId="128" xfId="0" applyFont="1" applyFill="1" applyBorder="1" applyAlignment="1">
      <alignment horizontal="center" vertical="center" wrapText="1"/>
    </xf>
    <xf numFmtId="0" fontId="38" fillId="6" borderId="125" xfId="0" applyFont="1" applyFill="1" applyBorder="1" applyAlignment="1">
      <alignment horizontal="center" vertical="center" wrapText="1"/>
    </xf>
    <xf numFmtId="0" fontId="38" fillId="6" borderId="129" xfId="0" applyFont="1" applyFill="1" applyBorder="1" applyAlignment="1">
      <alignment horizontal="center" vertical="center" wrapText="1"/>
    </xf>
    <xf numFmtId="0" fontId="30" fillId="6" borderId="53" xfId="0" applyFont="1" applyFill="1" applyBorder="1" applyAlignment="1">
      <alignment horizontal="left" vertical="center" wrapText="1"/>
    </xf>
    <xf numFmtId="0" fontId="30" fillId="6" borderId="54" xfId="0" applyFont="1" applyFill="1" applyBorder="1" applyAlignment="1">
      <alignment horizontal="left" vertical="center" wrapText="1"/>
    </xf>
    <xf numFmtId="0" fontId="30" fillId="6" borderId="55" xfId="0" applyFont="1" applyFill="1" applyBorder="1" applyAlignment="1">
      <alignment horizontal="left" vertical="center" wrapText="1"/>
    </xf>
    <xf numFmtId="0" fontId="30" fillId="6" borderId="53" xfId="0" applyFont="1" applyFill="1" applyBorder="1" applyAlignment="1">
      <alignment horizontal="left" vertical="center" wrapText="1" indent="1"/>
    </xf>
    <xf numFmtId="0" fontId="30" fillId="6" borderId="54" xfId="0" applyFont="1" applyFill="1" applyBorder="1" applyAlignment="1">
      <alignment horizontal="left" vertical="center" wrapText="1" indent="1"/>
    </xf>
    <xf numFmtId="0" fontId="30" fillId="6" borderId="55" xfId="0" applyFont="1" applyFill="1" applyBorder="1" applyAlignment="1">
      <alignment horizontal="left" vertical="center" wrapText="1" indent="1"/>
    </xf>
    <xf numFmtId="3" fontId="38" fillId="6" borderId="101" xfId="0" applyNumberFormat="1" applyFont="1" applyFill="1" applyBorder="1" applyAlignment="1">
      <alignment horizontal="center" vertical="center" wrapText="1"/>
    </xf>
    <xf numFmtId="3" fontId="38" fillId="6" borderId="54" xfId="0" applyNumberFormat="1" applyFont="1" applyFill="1" applyBorder="1" applyAlignment="1">
      <alignment horizontal="center" vertical="center" wrapText="1"/>
    </xf>
    <xf numFmtId="3" fontId="38" fillId="6" borderId="57" xfId="0" applyNumberFormat="1" applyFont="1" applyFill="1" applyBorder="1" applyAlignment="1">
      <alignment horizontal="center" vertical="center" wrapText="1"/>
    </xf>
    <xf numFmtId="3" fontId="38" fillId="4" borderId="32" xfId="0" applyNumberFormat="1" applyFont="1" applyFill="1" applyBorder="1" applyAlignment="1">
      <alignment horizontal="center" vertical="center" wrapText="1"/>
    </xf>
    <xf numFmtId="3" fontId="38" fillId="4" borderId="27" xfId="0" applyNumberFormat="1" applyFont="1" applyFill="1" applyBorder="1" applyAlignment="1">
      <alignment horizontal="center" vertical="center" wrapText="1"/>
    </xf>
    <xf numFmtId="3" fontId="38" fillId="4" borderId="50" xfId="0" applyNumberFormat="1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left" vertical="center" wrapText="1"/>
    </xf>
    <xf numFmtId="0" fontId="30" fillId="4" borderId="31" xfId="0" applyFont="1" applyFill="1" applyBorder="1" applyAlignment="1">
      <alignment horizontal="left" vertical="center" wrapText="1"/>
    </xf>
    <xf numFmtId="0" fontId="38" fillId="4" borderId="32" xfId="0" applyFont="1" applyFill="1" applyBorder="1" applyAlignment="1">
      <alignment horizontal="center" vertical="center" wrapText="1"/>
    </xf>
    <xf numFmtId="0" fontId="38" fillId="4" borderId="27" xfId="0" applyFont="1" applyFill="1" applyBorder="1" applyAlignment="1">
      <alignment horizontal="center" vertical="center" wrapText="1"/>
    </xf>
    <xf numFmtId="0" fontId="38" fillId="4" borderId="5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30" fillId="5" borderId="107" xfId="0" applyFont="1" applyFill="1" applyBorder="1" applyAlignment="1">
      <alignment horizontal="center" vertical="center" wrapText="1"/>
    </xf>
    <xf numFmtId="0" fontId="30" fillId="5" borderId="80" xfId="0" applyFont="1" applyFill="1" applyBorder="1" applyAlignment="1">
      <alignment horizontal="center" vertical="center" wrapText="1"/>
    </xf>
    <xf numFmtId="0" fontId="30" fillId="5" borderId="108" xfId="0" applyFont="1" applyFill="1" applyBorder="1" applyAlignment="1">
      <alignment horizontal="center" vertical="center" wrapText="1"/>
    </xf>
    <xf numFmtId="0" fontId="30" fillId="0" borderId="105" xfId="0" applyFont="1" applyFill="1" applyBorder="1" applyAlignment="1">
      <alignment horizontal="center" vertical="center" wrapText="1"/>
    </xf>
    <xf numFmtId="0" fontId="30" fillId="0" borderId="106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41" fontId="32" fillId="0" borderId="33" xfId="0" applyNumberFormat="1" applyFont="1" applyBorder="1" applyAlignment="1">
      <alignment horizontal="left" vertical="center" wrapText="1"/>
    </xf>
    <xf numFmtId="41" fontId="32" fillId="0" borderId="28" xfId="0" applyNumberFormat="1" applyFont="1" applyBorder="1" applyAlignment="1">
      <alignment horizontal="left" vertical="center" wrapText="1"/>
    </xf>
    <xf numFmtId="194" fontId="31" fillId="0" borderId="102" xfId="2" applyNumberFormat="1" applyFont="1" applyFill="1" applyBorder="1" applyAlignment="1">
      <alignment horizontal="center" vertical="center"/>
    </xf>
    <xf numFmtId="194" fontId="31" fillId="0" borderId="103" xfId="2" applyNumberFormat="1" applyFont="1" applyFill="1" applyBorder="1" applyAlignment="1">
      <alignment horizontal="center" vertical="center"/>
    </xf>
    <xf numFmtId="194" fontId="31" fillId="0" borderId="104" xfId="2" applyNumberFormat="1" applyFont="1" applyFill="1" applyBorder="1" applyAlignment="1">
      <alignment horizontal="center" vertical="center"/>
    </xf>
    <xf numFmtId="194" fontId="31" fillId="0" borderId="98" xfId="2" applyNumberFormat="1" applyFont="1" applyFill="1" applyBorder="1" applyAlignment="1">
      <alignment horizontal="center" vertical="center"/>
    </xf>
    <xf numFmtId="194" fontId="31" fillId="0" borderId="43" xfId="2" applyNumberFormat="1" applyFont="1" applyFill="1" applyBorder="1" applyAlignment="1">
      <alignment horizontal="center" vertical="center"/>
    </xf>
    <xf numFmtId="194" fontId="31" fillId="0" borderId="64" xfId="2" applyNumberFormat="1" applyFont="1" applyFill="1" applyBorder="1" applyAlignment="1">
      <alignment horizontal="center" vertical="center"/>
    </xf>
    <xf numFmtId="3" fontId="33" fillId="5" borderId="78" xfId="0" applyNumberFormat="1" applyFont="1" applyFill="1" applyBorder="1" applyAlignment="1">
      <alignment horizontal="center" vertical="center" wrapText="1"/>
    </xf>
    <xf numFmtId="3" fontId="33" fillId="5" borderId="80" xfId="0" applyNumberFormat="1" applyFont="1" applyFill="1" applyBorder="1" applyAlignment="1">
      <alignment horizontal="center" vertical="center" wrapText="1"/>
    </xf>
    <xf numFmtId="3" fontId="33" fillId="5" borderId="81" xfId="0" applyNumberFormat="1" applyFont="1" applyFill="1" applyBorder="1" applyAlignment="1">
      <alignment horizontal="center" vertical="center" wrapText="1"/>
    </xf>
    <xf numFmtId="3" fontId="33" fillId="6" borderId="101" xfId="0" applyNumberFormat="1" applyFont="1" applyFill="1" applyBorder="1" applyAlignment="1">
      <alignment horizontal="center" vertical="center" wrapText="1"/>
    </xf>
    <xf numFmtId="3" fontId="33" fillId="6" borderId="54" xfId="0" applyNumberFormat="1" applyFont="1" applyFill="1" applyBorder="1" applyAlignment="1">
      <alignment horizontal="center" vertical="center" wrapText="1"/>
    </xf>
    <xf numFmtId="3" fontId="33" fillId="6" borderId="57" xfId="0" applyNumberFormat="1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1" fillId="0" borderId="99" xfId="0" applyFont="1" applyFill="1" applyBorder="1" applyAlignment="1">
      <alignment horizontal="center" vertical="center" wrapText="1"/>
    </xf>
    <xf numFmtId="0" fontId="31" fillId="0" borderId="100" xfId="0" applyFont="1" applyFill="1" applyBorder="1" applyAlignment="1">
      <alignment horizontal="center" vertical="center" wrapText="1"/>
    </xf>
    <xf numFmtId="0" fontId="30" fillId="6" borderId="124" xfId="0" applyFont="1" applyFill="1" applyBorder="1" applyAlignment="1">
      <alignment horizontal="left" vertical="center" wrapText="1"/>
    </xf>
    <xf numFmtId="0" fontId="30" fillId="6" borderId="125" xfId="0" applyFont="1" applyFill="1" applyBorder="1" applyAlignment="1">
      <alignment horizontal="left" vertical="center" wrapText="1"/>
    </xf>
    <xf numFmtId="0" fontId="30" fillId="6" borderId="126" xfId="0" applyFont="1" applyFill="1" applyBorder="1" applyAlignment="1">
      <alignment horizontal="left" vertical="center" wrapText="1"/>
    </xf>
    <xf numFmtId="0" fontId="31" fillId="0" borderId="164" xfId="0" applyFont="1" applyFill="1" applyBorder="1" applyAlignment="1">
      <alignment horizontal="center" vertical="center" wrapText="1"/>
    </xf>
    <xf numFmtId="0" fontId="31" fillId="0" borderId="65" xfId="0" applyFont="1" applyFill="1" applyBorder="1" applyAlignment="1">
      <alignment horizontal="center" vertical="center" wrapText="1"/>
    </xf>
    <xf numFmtId="42" fontId="31" fillId="4" borderId="69" xfId="0" applyNumberFormat="1" applyFont="1" applyFill="1" applyBorder="1" applyAlignment="1">
      <alignment horizontal="center" vertical="center" shrinkToFit="1"/>
    </xf>
    <xf numFmtId="42" fontId="31" fillId="4" borderId="68" xfId="0" applyNumberFormat="1" applyFont="1" applyFill="1" applyBorder="1" applyAlignment="1">
      <alignment horizontal="center" vertical="center" shrinkToFit="1"/>
    </xf>
    <xf numFmtId="0" fontId="31" fillId="0" borderId="123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31" fillId="0" borderId="71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66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195" fontId="31" fillId="0" borderId="26" xfId="0" applyNumberFormat="1" applyFont="1" applyFill="1" applyBorder="1" applyAlignment="1">
      <alignment horizontal="center" vertical="center"/>
    </xf>
    <xf numFmtId="195" fontId="31" fillId="0" borderId="66" xfId="0" applyNumberFormat="1" applyFont="1" applyFill="1" applyBorder="1" applyAlignment="1">
      <alignment horizontal="center" vertical="center"/>
    </xf>
    <xf numFmtId="42" fontId="31" fillId="4" borderId="69" xfId="0" applyNumberFormat="1" applyFont="1" applyFill="1" applyBorder="1" applyAlignment="1">
      <alignment horizontal="center" vertical="center"/>
    </xf>
    <xf numFmtId="42" fontId="31" fillId="4" borderId="68" xfId="0" applyNumberFormat="1" applyFont="1" applyFill="1" applyBorder="1" applyAlignment="1">
      <alignment horizontal="center" vertical="center"/>
    </xf>
    <xf numFmtId="42" fontId="31" fillId="5" borderId="72" xfId="0" applyNumberFormat="1" applyFont="1" applyFill="1" applyBorder="1" applyAlignment="1">
      <alignment horizontal="center" vertical="center" wrapText="1"/>
    </xf>
    <xf numFmtId="42" fontId="31" fillId="5" borderId="73" xfId="0" applyNumberFormat="1" applyFont="1" applyFill="1" applyBorder="1" applyAlignment="1">
      <alignment horizontal="center" vertical="center" wrapText="1"/>
    </xf>
    <xf numFmtId="42" fontId="31" fillId="5" borderId="67" xfId="0" applyNumberFormat="1" applyFont="1" applyFill="1" applyBorder="1" applyAlignment="1">
      <alignment horizontal="center" vertical="center" wrapText="1"/>
    </xf>
    <xf numFmtId="42" fontId="31" fillId="6" borderId="70" xfId="0" applyNumberFormat="1" applyFont="1" applyFill="1" applyBorder="1" applyAlignment="1">
      <alignment horizontal="center" vertical="center"/>
    </xf>
    <xf numFmtId="42" fontId="31" fillId="6" borderId="60" xfId="0" applyNumberFormat="1" applyFont="1" applyFill="1" applyBorder="1" applyAlignment="1">
      <alignment horizontal="center" vertical="center"/>
    </xf>
    <xf numFmtId="42" fontId="31" fillId="6" borderId="68" xfId="0" applyNumberFormat="1" applyFont="1" applyFill="1" applyBorder="1" applyAlignment="1">
      <alignment horizontal="center" vertical="center"/>
    </xf>
    <xf numFmtId="0" fontId="31" fillId="0" borderId="119" xfId="0" applyFont="1" applyFill="1" applyBorder="1" applyAlignment="1">
      <alignment horizontal="center" vertical="center"/>
    </xf>
    <xf numFmtId="0" fontId="31" fillId="0" borderId="103" xfId="0" applyFont="1" applyFill="1" applyBorder="1" applyAlignment="1">
      <alignment horizontal="center" vertical="center"/>
    </xf>
    <xf numFmtId="0" fontId="31" fillId="0" borderId="104" xfId="0" applyFont="1" applyFill="1" applyBorder="1" applyAlignment="1">
      <alignment horizontal="center" vertical="center"/>
    </xf>
    <xf numFmtId="0" fontId="31" fillId="0" borderId="120" xfId="0" applyFont="1" applyFill="1" applyBorder="1" applyAlignment="1">
      <alignment horizontal="center" vertical="center"/>
    </xf>
    <xf numFmtId="0" fontId="31" fillId="0" borderId="121" xfId="0" applyFont="1" applyFill="1" applyBorder="1" applyAlignment="1">
      <alignment horizontal="center" vertical="center"/>
    </xf>
    <xf numFmtId="0" fontId="31" fillId="0" borderId="122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42" fontId="31" fillId="6" borderId="162" xfId="0" applyNumberFormat="1" applyFont="1" applyFill="1" applyBorder="1" applyAlignment="1">
      <alignment horizontal="center" vertical="center"/>
    </xf>
    <xf numFmtId="42" fontId="31" fillId="6" borderId="2" xfId="0" applyNumberFormat="1" applyFont="1" applyFill="1" applyBorder="1" applyAlignment="1">
      <alignment horizontal="center" vertical="center"/>
    </xf>
    <xf numFmtId="42" fontId="31" fillId="6" borderId="123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42" fontId="31" fillId="6" borderId="107" xfId="0" applyNumberFormat="1" applyFont="1" applyFill="1" applyBorder="1" applyAlignment="1">
      <alignment horizontal="center" vertical="center"/>
    </xf>
    <xf numFmtId="42" fontId="31" fillId="6" borderId="80" xfId="0" applyNumberFormat="1" applyFont="1" applyFill="1" applyBorder="1" applyAlignment="1">
      <alignment horizontal="center" vertical="center"/>
    </xf>
    <xf numFmtId="42" fontId="31" fillId="6" borderId="79" xfId="0" applyNumberFormat="1" applyFont="1" applyFill="1" applyBorder="1" applyAlignment="1">
      <alignment horizontal="center" vertical="center"/>
    </xf>
  </cellXfs>
  <cellStyles count="6">
    <cellStyle name="백분율" xfId="1" builtinId="5"/>
    <cellStyle name="쉼표 [0]" xfId="2" builtinId="6"/>
    <cellStyle name="쉼표 [0] 2" xfId="3"/>
    <cellStyle name="쉼표 [0] 3" xfId="5"/>
    <cellStyle name="표준" xfId="0" builtinId="0"/>
    <cellStyle name="표준 2" xfId="4"/>
  </cellStyles>
  <dxfs count="0"/>
  <tableStyles count="0" defaultTableStyle="TableStyleMedium9" defaultPivotStyle="PivotStyleLight16"/>
  <colors>
    <mruColors>
      <color rgb="FF0000FF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962025</xdr:colOff>
      <xdr:row>16</xdr:row>
      <xdr:rowOff>9524</xdr:rowOff>
    </xdr:from>
    <xdr:to>
      <xdr:col>3</xdr:col>
      <xdr:colOff>462112</xdr:colOff>
      <xdr:row>16</xdr:row>
      <xdr:rowOff>449293</xdr:rowOff>
    </xdr:to>
    <xdr:pic>
      <xdr:nvPicPr>
        <xdr:cNvPr id="2" name="그림 1" descr="FC Logo-Leaves_Small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5324474"/>
          <a:ext cx="471637" cy="439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zoomScale="85" zoomScaleSheetLayoutView="75" workbookViewId="0">
      <selection activeCell="F7" sqref="F7:F8"/>
    </sheetView>
  </sheetViews>
  <sheetFormatPr defaultColWidth="9.77734375" defaultRowHeight="13.5"/>
  <cols>
    <col min="1" max="1" width="3" style="5" customWidth="1"/>
    <col min="2" max="2" width="8.5546875" style="5" customWidth="1"/>
    <col min="3" max="3" width="8.6640625" style="5" customWidth="1"/>
    <col min="4" max="4" width="12.109375" style="5" customWidth="1"/>
    <col min="5" max="5" width="9.33203125" style="5" customWidth="1"/>
    <col min="6" max="6" width="9" style="50" bestFit="1" customWidth="1"/>
    <col min="7" max="7" width="7.5546875" style="5" customWidth="1"/>
    <col min="8" max="8" width="16" style="5" customWidth="1"/>
    <col min="9" max="9" width="10.88671875" style="5" customWidth="1"/>
    <col min="10" max="10" width="1.88671875" style="5" customWidth="1"/>
    <col min="11" max="11" width="4.44140625" style="5" customWidth="1"/>
    <col min="12" max="12" width="1.88671875" style="5" customWidth="1"/>
    <col min="13" max="13" width="6.44140625" style="5" bestFit="1" customWidth="1"/>
    <col min="14" max="14" width="1.88671875" style="5" customWidth="1"/>
    <col min="15" max="15" width="4" style="5" bestFit="1" customWidth="1"/>
    <col min="16" max="16" width="1.88671875" style="5" customWidth="1"/>
    <col min="17" max="17" width="3.88671875" style="5" customWidth="1"/>
    <col min="18" max="18" width="1.88671875" style="5" customWidth="1"/>
    <col min="19" max="19" width="9.77734375" style="5" customWidth="1"/>
    <col min="20" max="20" width="8.88671875" style="39"/>
    <col min="21" max="21" width="14.21875" style="39" bestFit="1" customWidth="1"/>
    <col min="22" max="16384" width="9.77734375" style="39"/>
  </cols>
  <sheetData>
    <row r="1" spans="1:22" s="48" customFormat="1" ht="17.25" customHeight="1" thickBot="1">
      <c r="A1" s="654" t="s">
        <v>3</v>
      </c>
      <c r="B1" s="654"/>
      <c r="C1" s="654"/>
      <c r="D1" s="654"/>
      <c r="E1" s="1"/>
      <c r="F1" s="5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8" t="s">
        <v>4</v>
      </c>
    </row>
    <row r="2" spans="1:22" s="49" customFormat="1" ht="21" customHeight="1">
      <c r="A2" s="655" t="s">
        <v>5</v>
      </c>
      <c r="B2" s="662" t="s">
        <v>6</v>
      </c>
      <c r="C2" s="662"/>
      <c r="D2" s="662"/>
      <c r="E2" s="662" t="s">
        <v>7</v>
      </c>
      <c r="F2" s="660" t="s">
        <v>8</v>
      </c>
      <c r="G2" s="663" t="s">
        <v>9</v>
      </c>
      <c r="H2" s="662" t="s">
        <v>10</v>
      </c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6"/>
      <c r="U2" s="60">
        <f>SUM(I7,I9,I11,I13,I15,I17,I19,I21,I23,I25,I27,I32,I34,I39)</f>
        <v>0</v>
      </c>
      <c r="V2" s="49" t="s">
        <v>48</v>
      </c>
    </row>
    <row r="3" spans="1:22" s="49" customFormat="1" ht="21" customHeight="1">
      <c r="A3" s="656"/>
      <c r="B3" s="3" t="s">
        <v>11</v>
      </c>
      <c r="C3" s="3" t="s">
        <v>12</v>
      </c>
      <c r="D3" s="3" t="s">
        <v>13</v>
      </c>
      <c r="E3" s="667"/>
      <c r="F3" s="661"/>
      <c r="G3" s="664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8"/>
      <c r="U3" s="60">
        <v>0</v>
      </c>
      <c r="V3" s="49" t="s">
        <v>49</v>
      </c>
    </row>
    <row r="4" spans="1:22" s="49" customFormat="1" ht="21" customHeight="1">
      <c r="A4" s="678" t="s">
        <v>41</v>
      </c>
      <c r="B4" s="650"/>
      <c r="C4" s="650"/>
      <c r="D4" s="650"/>
      <c r="E4" s="6">
        <f>SUM(E5,E41)</f>
        <v>0</v>
      </c>
      <c r="F4" s="6">
        <f>SUM(F5,F41)</f>
        <v>23000</v>
      </c>
      <c r="G4" s="6">
        <f>SUM(G5,G41)</f>
        <v>-23000</v>
      </c>
      <c r="H4" s="651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3"/>
      <c r="U4" s="60">
        <v>0</v>
      </c>
      <c r="V4" s="49" t="s">
        <v>50</v>
      </c>
    </row>
    <row r="5" spans="1:22" s="49" customFormat="1" ht="18" customHeight="1">
      <c r="A5" s="673"/>
      <c r="B5" s="639" t="s">
        <v>14</v>
      </c>
      <c r="C5" s="639"/>
      <c r="D5" s="639"/>
      <c r="E5" s="4">
        <f>SUM(E6)</f>
        <v>0</v>
      </c>
      <c r="F5" s="4">
        <f>SUM(F6)</f>
        <v>20400</v>
      </c>
      <c r="G5" s="6">
        <f>SUM(G6)</f>
        <v>-20400</v>
      </c>
      <c r="H5" s="626"/>
      <c r="I5" s="627"/>
      <c r="J5" s="627"/>
      <c r="K5" s="627"/>
      <c r="L5" s="627"/>
      <c r="M5" s="627"/>
      <c r="N5" s="627"/>
      <c r="O5" s="627"/>
      <c r="P5" s="627"/>
      <c r="Q5" s="627"/>
      <c r="R5" s="627"/>
      <c r="S5" s="628"/>
      <c r="U5" s="60">
        <v>0</v>
      </c>
      <c r="V5" s="49" t="s">
        <v>52</v>
      </c>
    </row>
    <row r="6" spans="1:22" s="49" customFormat="1" ht="18" customHeight="1">
      <c r="A6" s="674"/>
      <c r="B6" s="640"/>
      <c r="C6" s="650" t="s">
        <v>15</v>
      </c>
      <c r="D6" s="650"/>
      <c r="E6" s="6">
        <f>SUM(E7,E9,E13,E32,E34,E39)</f>
        <v>0</v>
      </c>
      <c r="F6" s="6">
        <f>SUM(F7,F9,F13,F32,F34,F39)</f>
        <v>20400</v>
      </c>
      <c r="G6" s="6">
        <f>SUM(G7,G9,G13,G32,G34,G39)</f>
        <v>-20400</v>
      </c>
      <c r="H6" s="657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659"/>
      <c r="U6" s="60">
        <f>SUM(I43,I45,I48)</f>
        <v>0</v>
      </c>
      <c r="V6" s="49" t="s">
        <v>51</v>
      </c>
    </row>
    <row r="7" spans="1:22" s="7" customFormat="1" ht="15" customHeight="1">
      <c r="A7" s="674"/>
      <c r="B7" s="671"/>
      <c r="C7" s="640"/>
      <c r="D7" s="639" t="s">
        <v>16</v>
      </c>
      <c r="E7" s="643">
        <f>ROUND(I7/1000,0)</f>
        <v>0</v>
      </c>
      <c r="F7" s="630">
        <v>9552</v>
      </c>
      <c r="G7" s="629">
        <f>E7-F7</f>
        <v>-9552</v>
      </c>
      <c r="H7" s="8" t="s">
        <v>17</v>
      </c>
      <c r="I7" s="9">
        <f>SUM(S8:S8)</f>
        <v>0</v>
      </c>
      <c r="J7" s="9"/>
      <c r="K7" s="9"/>
      <c r="L7" s="9"/>
      <c r="M7" s="9"/>
      <c r="N7" s="9"/>
      <c r="O7" s="10"/>
      <c r="P7" s="10"/>
      <c r="Q7" s="10"/>
      <c r="R7" s="9"/>
      <c r="S7" s="77" t="s">
        <v>18</v>
      </c>
      <c r="U7" s="55">
        <f>SUM(U2:U6)</f>
        <v>0</v>
      </c>
    </row>
    <row r="8" spans="1:22" s="7" customFormat="1" ht="15" customHeight="1">
      <c r="A8" s="674"/>
      <c r="B8" s="671"/>
      <c r="C8" s="671"/>
      <c r="D8" s="639"/>
      <c r="E8" s="643"/>
      <c r="F8" s="630"/>
      <c r="G8" s="629"/>
      <c r="H8" s="52" t="s">
        <v>47</v>
      </c>
      <c r="I8" s="17">
        <v>0</v>
      </c>
      <c r="J8" s="17" t="s">
        <v>19</v>
      </c>
      <c r="K8" s="18">
        <v>1</v>
      </c>
      <c r="L8" s="17" t="s">
        <v>19</v>
      </c>
      <c r="M8" s="23">
        <v>12</v>
      </c>
      <c r="N8" s="19"/>
      <c r="O8" s="24"/>
      <c r="P8" s="24"/>
      <c r="Q8" s="24"/>
      <c r="R8" s="17" t="s">
        <v>20</v>
      </c>
      <c r="S8" s="76">
        <f>I8*K8*M8</f>
        <v>0</v>
      </c>
      <c r="U8" s="55">
        <f>23000000-U7</f>
        <v>23000000</v>
      </c>
    </row>
    <row r="9" spans="1:22" s="7" customFormat="1" ht="15" customHeight="1">
      <c r="A9" s="674"/>
      <c r="B9" s="671"/>
      <c r="C9" s="671"/>
      <c r="D9" s="639" t="s">
        <v>21</v>
      </c>
      <c r="E9" s="643">
        <f>ROUND((I9+I11)/1000,0)</f>
        <v>0</v>
      </c>
      <c r="F9" s="630">
        <v>2468</v>
      </c>
      <c r="G9" s="629">
        <f>E9-F9</f>
        <v>-2468</v>
      </c>
      <c r="H9" s="8" t="s">
        <v>53</v>
      </c>
      <c r="I9" s="9">
        <f>SUM(S10:S10)</f>
        <v>0</v>
      </c>
      <c r="J9" s="9"/>
      <c r="K9" s="9"/>
      <c r="L9" s="9"/>
      <c r="M9" s="9"/>
      <c r="N9" s="9"/>
      <c r="O9" s="9"/>
      <c r="P9" s="9"/>
      <c r="Q9" s="9"/>
      <c r="R9" s="9"/>
      <c r="S9" s="77" t="s">
        <v>18</v>
      </c>
    </row>
    <row r="10" spans="1:22" s="7" customFormat="1" ht="15" customHeight="1">
      <c r="A10" s="674"/>
      <c r="B10" s="671"/>
      <c r="C10" s="671"/>
      <c r="D10" s="639"/>
      <c r="E10" s="643"/>
      <c r="F10" s="630"/>
      <c r="G10" s="629"/>
      <c r="H10" s="51" t="s">
        <v>55</v>
      </c>
      <c r="I10" s="11">
        <v>0</v>
      </c>
      <c r="J10" s="11" t="s">
        <v>19</v>
      </c>
      <c r="K10" s="12">
        <v>1</v>
      </c>
      <c r="L10" s="11" t="s">
        <v>19</v>
      </c>
      <c r="M10" s="20">
        <v>0.5</v>
      </c>
      <c r="N10" s="11" t="s">
        <v>19</v>
      </c>
      <c r="O10" s="13">
        <v>4</v>
      </c>
      <c r="P10" s="13"/>
      <c r="Q10" s="13"/>
      <c r="R10" s="11" t="s">
        <v>20</v>
      </c>
      <c r="S10" s="70">
        <f>I10*K10*M10*O10</f>
        <v>0</v>
      </c>
    </row>
    <row r="11" spans="1:22" s="7" customFormat="1" ht="15" customHeight="1">
      <c r="A11" s="674"/>
      <c r="B11" s="671"/>
      <c r="C11" s="671"/>
      <c r="D11" s="639"/>
      <c r="E11" s="643"/>
      <c r="F11" s="630"/>
      <c r="G11" s="629"/>
      <c r="H11" s="21" t="s">
        <v>22</v>
      </c>
      <c r="I11" s="11">
        <f>SUM(S12:S12)</f>
        <v>0</v>
      </c>
      <c r="J11" s="11"/>
      <c r="K11" s="11"/>
      <c r="L11" s="11"/>
      <c r="M11" s="11"/>
      <c r="N11" s="11"/>
      <c r="O11" s="15"/>
      <c r="P11" s="15"/>
      <c r="Q11" s="15"/>
      <c r="R11" s="11"/>
      <c r="S11" s="70" t="s">
        <v>18</v>
      </c>
    </row>
    <row r="12" spans="1:22" s="7" customFormat="1" ht="15" customHeight="1">
      <c r="A12" s="674"/>
      <c r="B12" s="671"/>
      <c r="C12" s="671"/>
      <c r="D12" s="639"/>
      <c r="E12" s="643"/>
      <c r="F12" s="630"/>
      <c r="G12" s="629"/>
      <c r="H12" s="52" t="s">
        <v>55</v>
      </c>
      <c r="I12" s="17">
        <v>0</v>
      </c>
      <c r="J12" s="17" t="s">
        <v>19</v>
      </c>
      <c r="K12" s="18">
        <v>1</v>
      </c>
      <c r="L12" s="17" t="s">
        <v>19</v>
      </c>
      <c r="M12" s="22">
        <v>0.6</v>
      </c>
      <c r="N12" s="17" t="s">
        <v>19</v>
      </c>
      <c r="O12" s="23">
        <v>2</v>
      </c>
      <c r="P12" s="19"/>
      <c r="Q12" s="24"/>
      <c r="R12" s="17" t="s">
        <v>20</v>
      </c>
      <c r="S12" s="76">
        <f>I12*K12*M12*O12</f>
        <v>0</v>
      </c>
    </row>
    <row r="13" spans="1:22" s="7" customFormat="1" ht="15" customHeight="1">
      <c r="A13" s="674"/>
      <c r="B13" s="671"/>
      <c r="C13" s="671"/>
      <c r="D13" s="639" t="s">
        <v>23</v>
      </c>
      <c r="E13" s="643">
        <f>ROUND((I13+I15+I21+I23+I25+I27+I17+I19)/1000,0)</f>
        <v>0</v>
      </c>
      <c r="F13" s="630">
        <v>5301</v>
      </c>
      <c r="G13" s="629">
        <f>E13-F13</f>
        <v>-5301</v>
      </c>
      <c r="H13" s="8" t="s">
        <v>24</v>
      </c>
      <c r="I13" s="9">
        <f>SUM(S14:S14)</f>
        <v>0</v>
      </c>
      <c r="J13" s="9"/>
      <c r="K13" s="9"/>
      <c r="L13" s="9"/>
      <c r="M13" s="9"/>
      <c r="N13" s="9"/>
      <c r="O13" s="9"/>
      <c r="P13" s="9"/>
      <c r="Q13" s="9"/>
      <c r="R13" s="9"/>
      <c r="S13" s="77" t="s">
        <v>18</v>
      </c>
    </row>
    <row r="14" spans="1:22" s="7" customFormat="1" ht="15" customHeight="1">
      <c r="A14" s="674"/>
      <c r="B14" s="671"/>
      <c r="C14" s="671"/>
      <c r="D14" s="639"/>
      <c r="E14" s="643"/>
      <c r="F14" s="630"/>
      <c r="G14" s="629"/>
      <c r="H14" s="51"/>
      <c r="I14" s="669">
        <f>I7</f>
        <v>0</v>
      </c>
      <c r="J14" s="669"/>
      <c r="K14" s="11"/>
      <c r="L14" s="11" t="s">
        <v>19</v>
      </c>
      <c r="M14" s="20">
        <v>0.1</v>
      </c>
      <c r="N14" s="11"/>
      <c r="O14" s="13"/>
      <c r="P14" s="13"/>
      <c r="Q14" s="13"/>
      <c r="R14" s="11" t="s">
        <v>20</v>
      </c>
      <c r="S14" s="70">
        <f>ROUND(I14*M14,-1)</f>
        <v>0</v>
      </c>
      <c r="U14" s="55"/>
    </row>
    <row r="15" spans="1:22" s="7" customFormat="1" ht="15" customHeight="1">
      <c r="A15" s="674"/>
      <c r="B15" s="671"/>
      <c r="C15" s="671"/>
      <c r="D15" s="639"/>
      <c r="E15" s="643"/>
      <c r="F15" s="630"/>
      <c r="G15" s="629"/>
      <c r="H15" s="21" t="s">
        <v>25</v>
      </c>
      <c r="I15" s="11">
        <f>SUM(S16:S16)</f>
        <v>0</v>
      </c>
      <c r="J15" s="11"/>
      <c r="K15" s="12"/>
      <c r="L15" s="11"/>
      <c r="M15" s="20"/>
      <c r="N15" s="11"/>
      <c r="O15" s="13"/>
      <c r="P15" s="13"/>
      <c r="Q15" s="13"/>
      <c r="R15" s="11"/>
      <c r="S15" s="70"/>
      <c r="U15" s="55"/>
    </row>
    <row r="16" spans="1:22" s="7" customFormat="1" ht="15" customHeight="1">
      <c r="A16" s="674"/>
      <c r="B16" s="671"/>
      <c r="C16" s="671"/>
      <c r="D16" s="639"/>
      <c r="E16" s="643"/>
      <c r="F16" s="630"/>
      <c r="G16" s="629"/>
      <c r="H16" s="51"/>
      <c r="I16" s="11">
        <v>0</v>
      </c>
      <c r="J16" s="11" t="s">
        <v>19</v>
      </c>
      <c r="K16" s="12">
        <v>1</v>
      </c>
      <c r="L16" s="11"/>
      <c r="M16" s="20"/>
      <c r="N16" s="11" t="s">
        <v>19</v>
      </c>
      <c r="O16" s="13">
        <v>12</v>
      </c>
      <c r="P16" s="14"/>
      <c r="Q16" s="15"/>
      <c r="R16" s="11" t="s">
        <v>20</v>
      </c>
      <c r="S16" s="70">
        <f>I16*K16*O16</f>
        <v>0</v>
      </c>
    </row>
    <row r="17" spans="1:21" s="7" customFormat="1" ht="15" customHeight="1">
      <c r="A17" s="674"/>
      <c r="B17" s="671"/>
      <c r="C17" s="671"/>
      <c r="D17" s="639"/>
      <c r="E17" s="643"/>
      <c r="F17" s="630"/>
      <c r="G17" s="629"/>
      <c r="H17" s="21" t="s">
        <v>46</v>
      </c>
      <c r="I17" s="11">
        <f>SUM(S18:S18)</f>
        <v>0</v>
      </c>
      <c r="J17" s="11"/>
      <c r="K17" s="12"/>
      <c r="L17" s="11"/>
      <c r="M17" s="20"/>
      <c r="N17" s="11"/>
      <c r="O17" s="13"/>
      <c r="P17" s="13"/>
      <c r="Q17" s="13"/>
      <c r="R17" s="11"/>
      <c r="S17" s="70"/>
    </row>
    <row r="18" spans="1:21" s="7" customFormat="1" ht="15" customHeight="1">
      <c r="A18" s="674"/>
      <c r="B18" s="671"/>
      <c r="C18" s="671"/>
      <c r="D18" s="639"/>
      <c r="E18" s="643"/>
      <c r="F18" s="630"/>
      <c r="G18" s="629"/>
      <c r="H18" s="51"/>
      <c r="I18" s="11">
        <v>0</v>
      </c>
      <c r="J18" s="11" t="s">
        <v>19</v>
      </c>
      <c r="K18" s="12">
        <v>1</v>
      </c>
      <c r="L18" s="11"/>
      <c r="M18" s="20"/>
      <c r="N18" s="11" t="s">
        <v>19</v>
      </c>
      <c r="O18" s="13">
        <v>12</v>
      </c>
      <c r="P18" s="14"/>
      <c r="Q18" s="15"/>
      <c r="R18" s="11" t="s">
        <v>20</v>
      </c>
      <c r="S18" s="70">
        <f>I18*K18*O18</f>
        <v>0</v>
      </c>
    </row>
    <row r="19" spans="1:21" s="7" customFormat="1" ht="15" customHeight="1">
      <c r="A19" s="674"/>
      <c r="B19" s="671"/>
      <c r="C19" s="671"/>
      <c r="D19" s="639"/>
      <c r="E19" s="643"/>
      <c r="F19" s="630"/>
      <c r="G19" s="629"/>
      <c r="H19" s="21" t="s">
        <v>54</v>
      </c>
      <c r="I19" s="11">
        <f>SUM(S20:S20)</f>
        <v>0</v>
      </c>
      <c r="J19" s="11"/>
      <c r="K19" s="12"/>
      <c r="L19" s="11"/>
      <c r="M19" s="20"/>
      <c r="N19" s="11"/>
      <c r="O19" s="13"/>
      <c r="P19" s="13"/>
      <c r="Q19" s="13"/>
      <c r="R19" s="11"/>
      <c r="S19" s="70"/>
    </row>
    <row r="20" spans="1:21" s="7" customFormat="1" ht="15" customHeight="1">
      <c r="A20" s="674"/>
      <c r="B20" s="671"/>
      <c r="C20" s="671"/>
      <c r="D20" s="639"/>
      <c r="E20" s="643"/>
      <c r="F20" s="630"/>
      <c r="G20" s="629"/>
      <c r="H20" s="51"/>
      <c r="I20" s="11">
        <v>0</v>
      </c>
      <c r="J20" s="11" t="s">
        <v>19</v>
      </c>
      <c r="K20" s="12">
        <v>1</v>
      </c>
      <c r="L20" s="11"/>
      <c r="M20" s="20"/>
      <c r="N20" s="11" t="s">
        <v>19</v>
      </c>
      <c r="O20" s="13">
        <v>12</v>
      </c>
      <c r="P20" s="14"/>
      <c r="Q20" s="15"/>
      <c r="R20" s="11" t="s">
        <v>20</v>
      </c>
      <c r="S20" s="70">
        <f>I20*K20*O20</f>
        <v>0</v>
      </c>
    </row>
    <row r="21" spans="1:21" s="7" customFormat="1" ht="15" customHeight="1">
      <c r="A21" s="674"/>
      <c r="B21" s="671"/>
      <c r="C21" s="671"/>
      <c r="D21" s="639"/>
      <c r="E21" s="643"/>
      <c r="F21" s="630"/>
      <c r="G21" s="629"/>
      <c r="H21" s="21" t="s">
        <v>26</v>
      </c>
      <c r="I21" s="11">
        <f>SUM(S22:S22)</f>
        <v>0</v>
      </c>
      <c r="J21" s="11"/>
      <c r="K21" s="12"/>
      <c r="L21" s="11"/>
      <c r="M21" s="20"/>
      <c r="N21" s="11"/>
      <c r="O21" s="13"/>
      <c r="P21" s="13"/>
      <c r="Q21" s="13"/>
      <c r="R21" s="11"/>
      <c r="S21" s="70"/>
    </row>
    <row r="22" spans="1:21" s="7" customFormat="1" ht="15" customHeight="1">
      <c r="A22" s="674"/>
      <c r="B22" s="671"/>
      <c r="C22" s="671"/>
      <c r="D22" s="639"/>
      <c r="E22" s="643"/>
      <c r="F22" s="630"/>
      <c r="G22" s="629"/>
      <c r="H22" s="51"/>
      <c r="I22" s="11">
        <v>0</v>
      </c>
      <c r="J22" s="11" t="s">
        <v>19</v>
      </c>
      <c r="K22" s="12">
        <v>1</v>
      </c>
      <c r="L22" s="11"/>
      <c r="M22" s="20"/>
      <c r="N22" s="11" t="s">
        <v>19</v>
      </c>
      <c r="O22" s="13">
        <v>12</v>
      </c>
      <c r="P22" s="14"/>
      <c r="Q22" s="15"/>
      <c r="R22" s="11" t="s">
        <v>20</v>
      </c>
      <c r="S22" s="70">
        <f>I22*K22*O22</f>
        <v>0</v>
      </c>
    </row>
    <row r="23" spans="1:21" s="7" customFormat="1" ht="15" customHeight="1">
      <c r="A23" s="674"/>
      <c r="B23" s="671"/>
      <c r="C23" s="671"/>
      <c r="D23" s="639"/>
      <c r="E23" s="643"/>
      <c r="F23" s="630"/>
      <c r="G23" s="629"/>
      <c r="H23" s="21" t="s">
        <v>27</v>
      </c>
      <c r="I23" s="11">
        <f>SUM(S24)</f>
        <v>0</v>
      </c>
      <c r="J23" s="11"/>
      <c r="K23" s="11"/>
      <c r="L23" s="11"/>
      <c r="M23" s="11"/>
      <c r="N23" s="11"/>
      <c r="O23" s="11"/>
      <c r="P23" s="11"/>
      <c r="Q23" s="11"/>
      <c r="R23" s="11"/>
      <c r="S23" s="70" t="s">
        <v>18</v>
      </c>
      <c r="U23" s="55"/>
    </row>
    <row r="24" spans="1:21" s="7" customFormat="1" ht="15" customHeight="1">
      <c r="A24" s="674"/>
      <c r="B24" s="671"/>
      <c r="C24" s="671"/>
      <c r="D24" s="639"/>
      <c r="E24" s="643"/>
      <c r="F24" s="630"/>
      <c r="G24" s="629"/>
      <c r="H24" s="51" t="s">
        <v>55</v>
      </c>
      <c r="I24" s="11">
        <v>0</v>
      </c>
      <c r="J24" s="11" t="s">
        <v>19</v>
      </c>
      <c r="K24" s="12">
        <v>1</v>
      </c>
      <c r="L24" s="11" t="s">
        <v>19</v>
      </c>
      <c r="M24" s="20">
        <v>0.25</v>
      </c>
      <c r="N24" s="11" t="s">
        <v>19</v>
      </c>
      <c r="O24" s="13">
        <v>2</v>
      </c>
      <c r="P24" s="13"/>
      <c r="Q24" s="13"/>
      <c r="R24" s="11" t="s">
        <v>20</v>
      </c>
      <c r="S24" s="70">
        <f>I24*K24*M24*O24</f>
        <v>0</v>
      </c>
    </row>
    <row r="25" spans="1:21" s="7" customFormat="1" ht="15" customHeight="1">
      <c r="A25" s="674"/>
      <c r="B25" s="671"/>
      <c r="C25" s="671"/>
      <c r="D25" s="639"/>
      <c r="E25" s="643"/>
      <c r="F25" s="630"/>
      <c r="G25" s="629"/>
      <c r="H25" s="21" t="s">
        <v>28</v>
      </c>
      <c r="I25" s="11">
        <f>SUM(S26)</f>
        <v>0</v>
      </c>
      <c r="J25" s="11"/>
      <c r="K25" s="11"/>
      <c r="L25" s="11"/>
      <c r="M25" s="11"/>
      <c r="N25" s="11"/>
      <c r="O25" s="11"/>
      <c r="P25" s="11"/>
      <c r="Q25" s="11"/>
      <c r="R25" s="11"/>
      <c r="S25" s="70" t="s">
        <v>18</v>
      </c>
    </row>
    <row r="26" spans="1:21" s="7" customFormat="1" ht="15" customHeight="1">
      <c r="A26" s="674"/>
      <c r="B26" s="671"/>
      <c r="C26" s="671"/>
      <c r="D26" s="639"/>
      <c r="E26" s="643"/>
      <c r="F26" s="630"/>
      <c r="G26" s="629"/>
      <c r="H26" s="51" t="s">
        <v>55</v>
      </c>
      <c r="I26" s="11">
        <v>0</v>
      </c>
      <c r="J26" s="11" t="s">
        <v>19</v>
      </c>
      <c r="K26" s="12">
        <v>1</v>
      </c>
      <c r="L26" s="11" t="s">
        <v>19</v>
      </c>
      <c r="M26" s="20">
        <v>0.5</v>
      </c>
      <c r="N26" s="11" t="s">
        <v>19</v>
      </c>
      <c r="O26" s="13">
        <v>2</v>
      </c>
      <c r="P26" s="13"/>
      <c r="Q26" s="13"/>
      <c r="R26" s="11" t="s">
        <v>20</v>
      </c>
      <c r="S26" s="70">
        <f>I26*K26*M26*O26</f>
        <v>0</v>
      </c>
    </row>
    <row r="27" spans="1:21" s="7" customFormat="1" ht="15" customHeight="1">
      <c r="A27" s="674"/>
      <c r="B27" s="671"/>
      <c r="C27" s="671"/>
      <c r="D27" s="639"/>
      <c r="E27" s="643"/>
      <c r="F27" s="630"/>
      <c r="G27" s="629"/>
      <c r="H27" s="21" t="s">
        <v>29</v>
      </c>
      <c r="I27" s="11">
        <f>SUM(S28)</f>
        <v>0</v>
      </c>
      <c r="J27" s="11"/>
      <c r="K27" s="11"/>
      <c r="L27" s="11"/>
      <c r="M27" s="11"/>
      <c r="N27" s="11"/>
      <c r="O27" s="11"/>
      <c r="P27" s="11"/>
      <c r="Q27" s="11"/>
      <c r="R27" s="11"/>
      <c r="S27" s="70" t="s">
        <v>18</v>
      </c>
    </row>
    <row r="28" spans="1:21" s="7" customFormat="1" ht="15" customHeight="1" thickBot="1">
      <c r="A28" s="675"/>
      <c r="B28" s="672"/>
      <c r="C28" s="672"/>
      <c r="D28" s="676"/>
      <c r="E28" s="677"/>
      <c r="F28" s="665"/>
      <c r="G28" s="670"/>
      <c r="H28" s="79" t="s">
        <v>55</v>
      </c>
      <c r="I28" s="11">
        <v>0</v>
      </c>
      <c r="J28" s="71" t="s">
        <v>19</v>
      </c>
      <c r="K28" s="74">
        <v>1</v>
      </c>
      <c r="L28" s="71" t="s">
        <v>19</v>
      </c>
      <c r="M28" s="75">
        <v>0.5</v>
      </c>
      <c r="N28" s="71" t="s">
        <v>19</v>
      </c>
      <c r="O28" s="73">
        <v>4</v>
      </c>
      <c r="P28" s="73"/>
      <c r="Q28" s="73"/>
      <c r="R28" s="71" t="s">
        <v>20</v>
      </c>
      <c r="S28" s="72">
        <f>I28*K28*M28*O28</f>
        <v>0</v>
      </c>
    </row>
    <row r="29" spans="1:21" s="48" customFormat="1" ht="18" customHeight="1" thickBot="1">
      <c r="A29" s="654"/>
      <c r="B29" s="654"/>
      <c r="C29" s="654"/>
      <c r="D29" s="654"/>
      <c r="E29" s="1"/>
      <c r="F29" s="5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78" t="s">
        <v>4</v>
      </c>
    </row>
    <row r="30" spans="1:21" s="49" customFormat="1" ht="20.25" customHeight="1">
      <c r="A30" s="655" t="s">
        <v>5</v>
      </c>
      <c r="B30" s="662" t="s">
        <v>6</v>
      </c>
      <c r="C30" s="662"/>
      <c r="D30" s="662"/>
      <c r="E30" s="662" t="s">
        <v>7</v>
      </c>
      <c r="F30" s="660" t="s">
        <v>8</v>
      </c>
      <c r="G30" s="663" t="s">
        <v>9</v>
      </c>
      <c r="H30" s="662" t="s">
        <v>10</v>
      </c>
      <c r="I30" s="662"/>
      <c r="J30" s="662"/>
      <c r="K30" s="662"/>
      <c r="L30" s="662"/>
      <c r="M30" s="662"/>
      <c r="N30" s="662"/>
      <c r="O30" s="662"/>
      <c r="P30" s="662"/>
      <c r="Q30" s="662"/>
      <c r="R30" s="662"/>
      <c r="S30" s="666"/>
    </row>
    <row r="31" spans="1:21" s="49" customFormat="1" ht="21" customHeight="1">
      <c r="A31" s="656"/>
      <c r="B31" s="3" t="s">
        <v>11</v>
      </c>
      <c r="C31" s="3" t="s">
        <v>12</v>
      </c>
      <c r="D31" s="3" t="s">
        <v>13</v>
      </c>
      <c r="E31" s="636"/>
      <c r="F31" s="661"/>
      <c r="G31" s="664"/>
      <c r="H31" s="667"/>
      <c r="I31" s="667"/>
      <c r="J31" s="667"/>
      <c r="K31" s="667"/>
      <c r="L31" s="667"/>
      <c r="M31" s="667"/>
      <c r="N31" s="667"/>
      <c r="O31" s="667"/>
      <c r="P31" s="667"/>
      <c r="Q31" s="667"/>
      <c r="R31" s="667"/>
      <c r="S31" s="668"/>
    </row>
    <row r="32" spans="1:21" s="7" customFormat="1" ht="15" customHeight="1">
      <c r="A32" s="645" t="s">
        <v>42</v>
      </c>
      <c r="B32" s="640" t="s">
        <v>14</v>
      </c>
      <c r="C32" s="642"/>
      <c r="D32" s="638" t="s">
        <v>30</v>
      </c>
      <c r="E32" s="643">
        <f>ROUND(I32/1000,0)</f>
        <v>0</v>
      </c>
      <c r="F32" s="630">
        <v>1543</v>
      </c>
      <c r="G32" s="629">
        <f>E32-F32</f>
        <v>-1543</v>
      </c>
      <c r="H32" s="8" t="s">
        <v>31</v>
      </c>
      <c r="I32" s="9">
        <f>SUM(S33:S33)</f>
        <v>0</v>
      </c>
      <c r="J32" s="9"/>
      <c r="K32" s="9"/>
      <c r="L32" s="9"/>
      <c r="M32" s="9"/>
      <c r="N32" s="9"/>
      <c r="O32" s="9"/>
      <c r="P32" s="9"/>
      <c r="Q32" s="9"/>
      <c r="R32" s="9"/>
      <c r="S32" s="77" t="s">
        <v>18</v>
      </c>
    </row>
    <row r="33" spans="1:19" s="7" customFormat="1" ht="15" customHeight="1">
      <c r="A33" s="646"/>
      <c r="B33" s="632"/>
      <c r="C33" s="632"/>
      <c r="D33" s="638"/>
      <c r="E33" s="643"/>
      <c r="F33" s="630"/>
      <c r="G33" s="629"/>
      <c r="H33" s="56"/>
      <c r="I33" s="11">
        <v>0</v>
      </c>
      <c r="J33" s="17"/>
      <c r="K33" s="18"/>
      <c r="L33" s="17" t="s">
        <v>19</v>
      </c>
      <c r="M33" s="25">
        <v>1</v>
      </c>
      <c r="N33" s="19" t="s">
        <v>2</v>
      </c>
      <c r="O33" s="57">
        <v>12</v>
      </c>
      <c r="P33" s="23"/>
      <c r="Q33" s="23"/>
      <c r="R33" s="17" t="s">
        <v>20</v>
      </c>
      <c r="S33" s="76">
        <f>ROUND(I33*M33/O33,-1)</f>
        <v>0</v>
      </c>
    </row>
    <row r="34" spans="1:19" s="7" customFormat="1" ht="15" customHeight="1">
      <c r="A34" s="646"/>
      <c r="B34" s="632"/>
      <c r="C34" s="632"/>
      <c r="D34" s="648" t="s">
        <v>32</v>
      </c>
      <c r="E34" s="643">
        <f>ROUND(I34/1000,0)</f>
        <v>0</v>
      </c>
      <c r="F34" s="630">
        <v>1486</v>
      </c>
      <c r="G34" s="629">
        <f>E34-F34</f>
        <v>-1486</v>
      </c>
      <c r="H34" s="8" t="s">
        <v>33</v>
      </c>
      <c r="I34" s="9">
        <f>SUM(S35,S36:S38)</f>
        <v>0</v>
      </c>
      <c r="J34" s="9"/>
      <c r="K34" s="26"/>
      <c r="L34" s="9"/>
      <c r="M34" s="27"/>
      <c r="N34" s="9"/>
      <c r="O34" s="28"/>
      <c r="P34" s="28"/>
      <c r="Q34" s="28"/>
      <c r="R34" s="9"/>
      <c r="S34" s="77"/>
    </row>
    <row r="35" spans="1:19" s="7" customFormat="1" ht="15" customHeight="1">
      <c r="A35" s="646"/>
      <c r="B35" s="632"/>
      <c r="C35" s="632"/>
      <c r="D35" s="636"/>
      <c r="E35" s="636"/>
      <c r="F35" s="636"/>
      <c r="G35" s="636"/>
      <c r="H35" s="51" t="s">
        <v>34</v>
      </c>
      <c r="I35" s="11">
        <v>0</v>
      </c>
      <c r="J35" s="11"/>
      <c r="K35" s="12"/>
      <c r="L35" s="11" t="s">
        <v>19</v>
      </c>
      <c r="M35" s="29">
        <v>4.4999999999999998E-2</v>
      </c>
      <c r="N35" s="11"/>
      <c r="O35" s="16"/>
      <c r="P35" s="14"/>
      <c r="Q35" s="16"/>
      <c r="R35" s="11" t="s">
        <v>20</v>
      </c>
      <c r="S35" s="70">
        <f>ROUND(I35*M35,-1)</f>
        <v>0</v>
      </c>
    </row>
    <row r="36" spans="1:19" s="7" customFormat="1" ht="15" customHeight="1">
      <c r="A36" s="646"/>
      <c r="B36" s="632"/>
      <c r="C36" s="632"/>
      <c r="D36" s="636"/>
      <c r="E36" s="636"/>
      <c r="F36" s="636"/>
      <c r="G36" s="636"/>
      <c r="H36" s="51" t="s">
        <v>35</v>
      </c>
      <c r="I36" s="11">
        <v>0</v>
      </c>
      <c r="J36" s="11"/>
      <c r="K36" s="12"/>
      <c r="L36" s="11" t="s">
        <v>19</v>
      </c>
      <c r="M36" s="58">
        <v>2.385E-2</v>
      </c>
      <c r="N36" s="11"/>
      <c r="O36" s="16"/>
      <c r="P36" s="14"/>
      <c r="Q36" s="16"/>
      <c r="R36" s="11" t="s">
        <v>20</v>
      </c>
      <c r="S36" s="70">
        <f>ROUND(I36*M36,-1)</f>
        <v>0</v>
      </c>
    </row>
    <row r="37" spans="1:19" s="7" customFormat="1" ht="15" customHeight="1">
      <c r="A37" s="646"/>
      <c r="B37" s="632"/>
      <c r="C37" s="632"/>
      <c r="D37" s="636"/>
      <c r="E37" s="636"/>
      <c r="F37" s="636"/>
      <c r="G37" s="636"/>
      <c r="H37" s="51" t="s">
        <v>36</v>
      </c>
      <c r="I37" s="11">
        <v>0</v>
      </c>
      <c r="J37" s="11"/>
      <c r="K37" s="12"/>
      <c r="L37" s="11" t="s">
        <v>19</v>
      </c>
      <c r="M37" s="29">
        <v>1.0999999999999999E-2</v>
      </c>
      <c r="N37" s="11"/>
      <c r="O37" s="13"/>
      <c r="P37" s="14"/>
      <c r="Q37" s="15"/>
      <c r="R37" s="11" t="s">
        <v>20</v>
      </c>
      <c r="S37" s="70">
        <f>ROUND(I37*M37,-1)</f>
        <v>0</v>
      </c>
    </row>
    <row r="38" spans="1:19" s="7" customFormat="1" ht="15" customHeight="1">
      <c r="A38" s="646"/>
      <c r="B38" s="632"/>
      <c r="C38" s="632"/>
      <c r="D38" s="636"/>
      <c r="E38" s="636"/>
      <c r="F38" s="636"/>
      <c r="G38" s="636"/>
      <c r="H38" s="52" t="s">
        <v>37</v>
      </c>
      <c r="I38" s="17">
        <v>0</v>
      </c>
      <c r="J38" s="17"/>
      <c r="K38" s="18"/>
      <c r="L38" s="17" t="s">
        <v>19</v>
      </c>
      <c r="M38" s="59">
        <v>4.4000000000000003E-3</v>
      </c>
      <c r="N38" s="17"/>
      <c r="O38" s="23"/>
      <c r="P38" s="19"/>
      <c r="Q38" s="24"/>
      <c r="R38" s="17" t="s">
        <v>20</v>
      </c>
      <c r="S38" s="76">
        <f>ROUND(I38*M38,-1)</f>
        <v>0</v>
      </c>
    </row>
    <row r="39" spans="1:19" s="7" customFormat="1" ht="15" customHeight="1">
      <c r="A39" s="646"/>
      <c r="B39" s="632"/>
      <c r="C39" s="632"/>
      <c r="D39" s="648" t="s">
        <v>45</v>
      </c>
      <c r="E39" s="643">
        <f>ROUND(I39/1000,0)</f>
        <v>0</v>
      </c>
      <c r="F39" s="630">
        <v>50</v>
      </c>
      <c r="G39" s="629">
        <f>E39-F39</f>
        <v>-50</v>
      </c>
      <c r="H39" s="8" t="s">
        <v>38</v>
      </c>
      <c r="I39" s="9">
        <f>SUM(S40:S40)</f>
        <v>0</v>
      </c>
      <c r="J39" s="9"/>
      <c r="K39" s="26"/>
      <c r="L39" s="9"/>
      <c r="M39" s="27"/>
      <c r="N39" s="9"/>
      <c r="O39" s="28"/>
      <c r="P39" s="28"/>
      <c r="Q39" s="28"/>
      <c r="R39" s="9"/>
      <c r="S39" s="77"/>
    </row>
    <row r="40" spans="1:19" s="7" customFormat="1" ht="15" customHeight="1">
      <c r="A40" s="646"/>
      <c r="B40" s="641"/>
      <c r="C40" s="641"/>
      <c r="D40" s="648"/>
      <c r="E40" s="643"/>
      <c r="F40" s="630"/>
      <c r="G40" s="629"/>
      <c r="H40" s="52" t="s">
        <v>39</v>
      </c>
      <c r="I40" s="17">
        <v>0</v>
      </c>
      <c r="J40" s="17" t="s">
        <v>19</v>
      </c>
      <c r="K40" s="18">
        <v>1</v>
      </c>
      <c r="L40" s="17"/>
      <c r="M40" s="22"/>
      <c r="N40" s="17"/>
      <c r="O40" s="23"/>
      <c r="P40" s="19"/>
      <c r="Q40" s="30"/>
      <c r="R40" s="17" t="s">
        <v>20</v>
      </c>
      <c r="S40" s="76">
        <f>I40*K40</f>
        <v>0</v>
      </c>
    </row>
    <row r="41" spans="1:19" s="2" customFormat="1" ht="18" customHeight="1">
      <c r="A41" s="646"/>
      <c r="B41" s="639" t="s">
        <v>40</v>
      </c>
      <c r="C41" s="639"/>
      <c r="D41" s="639"/>
      <c r="E41" s="4">
        <f>SUM(E42:E42)</f>
        <v>0</v>
      </c>
      <c r="F41" s="4">
        <f>SUM(F42:F42)</f>
        <v>2600</v>
      </c>
      <c r="G41" s="6">
        <f>SUM(G42:G42)</f>
        <v>-2600</v>
      </c>
      <c r="H41" s="626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28"/>
    </row>
    <row r="42" spans="1:19" s="2" customFormat="1" ht="18" customHeight="1">
      <c r="A42" s="646"/>
      <c r="B42" s="638"/>
      <c r="C42" s="650" t="s">
        <v>43</v>
      </c>
      <c r="D42" s="650"/>
      <c r="E42" s="6">
        <f>SUM(E43)</f>
        <v>0</v>
      </c>
      <c r="F42" s="6">
        <f>SUM(F43)</f>
        <v>2600</v>
      </c>
      <c r="G42" s="6">
        <f>SUM(G43)</f>
        <v>-2600</v>
      </c>
      <c r="H42" s="634"/>
      <c r="I42" s="634"/>
      <c r="J42" s="634"/>
      <c r="K42" s="634"/>
      <c r="L42" s="634"/>
      <c r="M42" s="634"/>
      <c r="N42" s="634"/>
      <c r="O42" s="634"/>
      <c r="P42" s="634"/>
      <c r="Q42" s="634"/>
      <c r="R42" s="634"/>
      <c r="S42" s="635"/>
    </row>
    <row r="43" spans="1:19" s="53" customFormat="1" ht="15" customHeight="1">
      <c r="A43" s="646"/>
      <c r="B43" s="636"/>
      <c r="C43" s="644"/>
      <c r="D43" s="649" t="s">
        <v>44</v>
      </c>
      <c r="E43" s="643">
        <f>ROUND((I43+I45+I48)/1000,0)</f>
        <v>0</v>
      </c>
      <c r="F43" s="630">
        <v>2600</v>
      </c>
      <c r="G43" s="631">
        <f>E43-F43</f>
        <v>-2600</v>
      </c>
      <c r="H43" s="40" t="s">
        <v>58</v>
      </c>
      <c r="I43" s="46">
        <f>SUM(S44:S44)</f>
        <v>0</v>
      </c>
      <c r="J43" s="41"/>
      <c r="K43" s="42"/>
      <c r="L43" s="41"/>
      <c r="M43" s="43"/>
      <c r="N43" s="41"/>
      <c r="O43" s="44"/>
      <c r="P43" s="45"/>
      <c r="Q43" s="44"/>
      <c r="R43" s="41"/>
      <c r="S43" s="61"/>
    </row>
    <row r="44" spans="1:19" s="53" customFormat="1" ht="15" customHeight="1">
      <c r="A44" s="646"/>
      <c r="B44" s="636"/>
      <c r="C44" s="636"/>
      <c r="D44" s="636"/>
      <c r="E44" s="636"/>
      <c r="F44" s="636"/>
      <c r="G44" s="632"/>
      <c r="H44" s="38" t="s">
        <v>59</v>
      </c>
      <c r="I44" s="31">
        <v>0</v>
      </c>
      <c r="J44" s="31" t="s">
        <v>56</v>
      </c>
      <c r="K44" s="63">
        <v>1</v>
      </c>
      <c r="L44" s="31"/>
      <c r="M44" s="64"/>
      <c r="N44" s="31"/>
      <c r="O44" s="35"/>
      <c r="P44" s="34"/>
      <c r="Q44" s="33"/>
      <c r="R44" s="31" t="s">
        <v>57</v>
      </c>
      <c r="S44" s="62">
        <f>I44*K44</f>
        <v>0</v>
      </c>
    </row>
    <row r="45" spans="1:19" s="53" customFormat="1" ht="15" customHeight="1">
      <c r="A45" s="646"/>
      <c r="B45" s="636"/>
      <c r="C45" s="636"/>
      <c r="D45" s="636"/>
      <c r="E45" s="636"/>
      <c r="F45" s="636"/>
      <c r="G45" s="632"/>
      <c r="H45" s="36" t="s">
        <v>60</v>
      </c>
      <c r="I45" s="31">
        <f>SUM(S46:S47)</f>
        <v>0</v>
      </c>
      <c r="J45" s="31"/>
      <c r="K45" s="63"/>
      <c r="L45" s="31"/>
      <c r="M45" s="64"/>
      <c r="N45" s="31"/>
      <c r="O45" s="35"/>
      <c r="P45" s="34"/>
      <c r="Q45" s="33"/>
      <c r="R45" s="31"/>
      <c r="S45" s="62"/>
    </row>
    <row r="46" spans="1:19" s="53" customFormat="1" ht="15" customHeight="1">
      <c r="A46" s="646"/>
      <c r="B46" s="636"/>
      <c r="C46" s="636"/>
      <c r="D46" s="636"/>
      <c r="E46" s="636"/>
      <c r="F46" s="636"/>
      <c r="G46" s="632"/>
      <c r="H46" s="38" t="s">
        <v>61</v>
      </c>
      <c r="I46" s="31">
        <v>0</v>
      </c>
      <c r="J46" s="31" t="s">
        <v>56</v>
      </c>
      <c r="K46" s="63">
        <v>2</v>
      </c>
      <c r="L46" s="31"/>
      <c r="M46" s="64"/>
      <c r="N46" s="31"/>
      <c r="O46" s="35"/>
      <c r="P46" s="34"/>
      <c r="Q46" s="33"/>
      <c r="R46" s="31" t="s">
        <v>57</v>
      </c>
      <c r="S46" s="62">
        <f>I46*K46</f>
        <v>0</v>
      </c>
    </row>
    <row r="47" spans="1:19" s="53" customFormat="1" ht="15" customHeight="1">
      <c r="A47" s="646"/>
      <c r="B47" s="636"/>
      <c r="C47" s="636"/>
      <c r="D47" s="636"/>
      <c r="E47" s="636"/>
      <c r="F47" s="636"/>
      <c r="G47" s="632"/>
      <c r="H47" s="38" t="s">
        <v>62</v>
      </c>
      <c r="I47" s="31">
        <v>0</v>
      </c>
      <c r="J47" s="31" t="s">
        <v>56</v>
      </c>
      <c r="K47" s="63">
        <v>1</v>
      </c>
      <c r="L47" s="31"/>
      <c r="M47" s="64"/>
      <c r="N47" s="31"/>
      <c r="O47" s="35"/>
      <c r="P47" s="34"/>
      <c r="Q47" s="33"/>
      <c r="R47" s="31" t="s">
        <v>57</v>
      </c>
      <c r="S47" s="62">
        <f>I47*K47</f>
        <v>0</v>
      </c>
    </row>
    <row r="48" spans="1:19" s="53" customFormat="1" ht="15" customHeight="1">
      <c r="A48" s="646"/>
      <c r="B48" s="636"/>
      <c r="C48" s="636"/>
      <c r="D48" s="636"/>
      <c r="E48" s="636"/>
      <c r="F48" s="636"/>
      <c r="G48" s="632"/>
      <c r="H48" s="36" t="s">
        <v>63</v>
      </c>
      <c r="I48" s="47">
        <f>SUM(S49:S49)</f>
        <v>0</v>
      </c>
      <c r="J48" s="31"/>
      <c r="K48" s="32"/>
      <c r="L48" s="31"/>
      <c r="M48" s="37"/>
      <c r="N48" s="31"/>
      <c r="O48" s="33"/>
      <c r="P48" s="34"/>
      <c r="Q48" s="33"/>
      <c r="R48" s="31"/>
      <c r="S48" s="62"/>
    </row>
    <row r="49" spans="1:19" s="53" customFormat="1" ht="15" customHeight="1" thickBot="1">
      <c r="A49" s="647"/>
      <c r="B49" s="637"/>
      <c r="C49" s="637"/>
      <c r="D49" s="637"/>
      <c r="E49" s="637"/>
      <c r="F49" s="637"/>
      <c r="G49" s="633"/>
      <c r="H49" s="65" t="s">
        <v>64</v>
      </c>
      <c r="I49" s="82">
        <v>0</v>
      </c>
      <c r="J49" s="66" t="s">
        <v>56</v>
      </c>
      <c r="K49" s="80">
        <v>2</v>
      </c>
      <c r="L49" s="66"/>
      <c r="M49" s="81"/>
      <c r="N49" s="66"/>
      <c r="O49" s="68"/>
      <c r="P49" s="67"/>
      <c r="Q49" s="68"/>
      <c r="R49" s="66" t="s">
        <v>57</v>
      </c>
      <c r="S49" s="69">
        <f>I49*K49</f>
        <v>0</v>
      </c>
    </row>
  </sheetData>
  <customSheetViews>
    <customSheetView guid="{39574142-277E-4296-AA2F-EE5B7F5EB8C6}" scale="85" state="hidden">
      <selection activeCell="F7" sqref="F7:F8"/>
      <pageMargins left="0.35" right="0.18" top="1.83" bottom="0.19" header="0.16" footer="0.15748031496062992"/>
      <pageSetup paperSize="9" orientation="landscape" r:id="rId1"/>
      <headerFooter alignWithMargins="0"/>
    </customSheetView>
    <customSheetView guid="{44C29E1A-F762-476F-BEBE-19F6015011EF}" showRuler="0" topLeftCell="A23">
      <selection activeCell="I37" sqref="I37"/>
      <pageMargins left="0.35" right="0.18" top="1.5" bottom="0.19" header="0.16" footer="0.15748031496062992"/>
      <pageSetup paperSize="9" orientation="landscape" horizontalDpi="4294967293" verticalDpi="300" r:id="rId2"/>
      <headerFooter alignWithMargins="0"/>
    </customSheetView>
    <customSheetView guid="{AECBB1FD-440B-44B5-88B4-35517DBA2BD4}" scale="85" state="hidden">
      <selection activeCell="F7" sqref="F7:F8"/>
      <pageMargins left="0.35" right="0.18" top="1.83" bottom="0.19" header="0.16" footer="0.15748031496062992"/>
      <pageSetup paperSize="9" orientation="landscape" r:id="rId3"/>
      <headerFooter alignWithMargins="0"/>
    </customSheetView>
  </customSheetViews>
  <mergeCells count="61">
    <mergeCell ref="A2:A3"/>
    <mergeCell ref="B2:D2"/>
    <mergeCell ref="D7:D8"/>
    <mergeCell ref="E7:E8"/>
    <mergeCell ref="A1:D1"/>
    <mergeCell ref="A5:A28"/>
    <mergeCell ref="D13:D28"/>
    <mergeCell ref="E13:E28"/>
    <mergeCell ref="E2:E3"/>
    <mergeCell ref="C6:D6"/>
    <mergeCell ref="A4:D4"/>
    <mergeCell ref="B6:B28"/>
    <mergeCell ref="G2:G3"/>
    <mergeCell ref="F13:F28"/>
    <mergeCell ref="H30:S31"/>
    <mergeCell ref="B30:D30"/>
    <mergeCell ref="G7:G8"/>
    <mergeCell ref="F7:F8"/>
    <mergeCell ref="I14:J14"/>
    <mergeCell ref="F9:F12"/>
    <mergeCell ref="G13:G28"/>
    <mergeCell ref="H2:S3"/>
    <mergeCell ref="F2:F3"/>
    <mergeCell ref="C7:C28"/>
    <mergeCell ref="B5:D5"/>
    <mergeCell ref="D9:D12"/>
    <mergeCell ref="E9:E12"/>
    <mergeCell ref="G30:G31"/>
    <mergeCell ref="H4:S4"/>
    <mergeCell ref="A29:D29"/>
    <mergeCell ref="A30:A31"/>
    <mergeCell ref="H5:S5"/>
    <mergeCell ref="H6:S6"/>
    <mergeCell ref="G9:G12"/>
    <mergeCell ref="F30:F31"/>
    <mergeCell ref="E30:E31"/>
    <mergeCell ref="A32:A49"/>
    <mergeCell ref="B42:B49"/>
    <mergeCell ref="E43:E49"/>
    <mergeCell ref="D39:D40"/>
    <mergeCell ref="D43:D49"/>
    <mergeCell ref="D34:D38"/>
    <mergeCell ref="E39:E40"/>
    <mergeCell ref="C42:D42"/>
    <mergeCell ref="F34:F38"/>
    <mergeCell ref="F43:F49"/>
    <mergeCell ref="D32:D33"/>
    <mergeCell ref="B41:D41"/>
    <mergeCell ref="G34:G38"/>
    <mergeCell ref="G32:G33"/>
    <mergeCell ref="F32:F33"/>
    <mergeCell ref="B32:B40"/>
    <mergeCell ref="C32:C40"/>
    <mergeCell ref="E32:E33"/>
    <mergeCell ref="C43:C49"/>
    <mergeCell ref="E34:E38"/>
    <mergeCell ref="H41:S41"/>
    <mergeCell ref="G39:G40"/>
    <mergeCell ref="F39:F40"/>
    <mergeCell ref="G43:G49"/>
    <mergeCell ref="H42:S42"/>
  </mergeCells>
  <phoneticPr fontId="2" type="noConversion"/>
  <pageMargins left="0.35" right="0.18" top="1.83" bottom="0.19" header="0.16" footer="0.1574803149606299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0"/>
  <sheetViews>
    <sheetView view="pageBreakPreview" zoomScaleNormal="100" zoomScaleSheetLayoutView="100" workbookViewId="0">
      <selection activeCell="J34" sqref="J34:J36"/>
    </sheetView>
  </sheetViews>
  <sheetFormatPr defaultColWidth="11.33203125" defaultRowHeight="13.5"/>
  <sheetData>
    <row r="1" spans="1:11" ht="24.6" customHeight="1">
      <c r="A1" s="503"/>
      <c r="B1" s="504"/>
      <c r="C1" s="504"/>
      <c r="D1" s="490"/>
      <c r="E1" s="490"/>
      <c r="F1" s="490"/>
      <c r="G1" s="490"/>
      <c r="H1" s="490"/>
      <c r="I1" s="490"/>
      <c r="J1" s="504"/>
      <c r="K1" s="505"/>
    </row>
    <row r="2" spans="1:11" ht="24.6" customHeight="1">
      <c r="A2" s="498"/>
      <c r="B2" s="499"/>
      <c r="C2" s="491"/>
      <c r="D2" s="491"/>
      <c r="E2" s="491"/>
      <c r="F2" s="491"/>
      <c r="G2" s="491"/>
      <c r="H2" s="491"/>
      <c r="I2" s="491"/>
      <c r="J2" s="491"/>
      <c r="K2" s="492"/>
    </row>
    <row r="3" spans="1:11" ht="24.6" customHeight="1">
      <c r="A3" s="498"/>
      <c r="B3" s="499"/>
      <c r="C3" s="491"/>
      <c r="D3" s="491"/>
      <c r="E3" s="491"/>
      <c r="F3" s="491"/>
      <c r="G3" s="491"/>
      <c r="H3" s="491"/>
      <c r="I3" s="491"/>
      <c r="J3" s="491"/>
      <c r="K3" s="492"/>
    </row>
    <row r="4" spans="1:11" ht="24.6" customHeight="1">
      <c r="A4" s="498"/>
      <c r="B4" s="499"/>
      <c r="C4" s="491"/>
      <c r="D4" s="491"/>
      <c r="E4" s="491"/>
      <c r="F4" s="491"/>
      <c r="G4" s="491"/>
      <c r="H4" s="491"/>
      <c r="I4" s="491"/>
      <c r="J4" s="491"/>
      <c r="K4" s="492"/>
    </row>
    <row r="5" spans="1:11" ht="51" customHeight="1">
      <c r="A5" s="680" t="s">
        <v>346</v>
      </c>
      <c r="B5" s="681"/>
      <c r="C5" s="681"/>
      <c r="D5" s="681"/>
      <c r="E5" s="681"/>
      <c r="F5" s="681"/>
      <c r="G5" s="681"/>
      <c r="H5" s="681"/>
      <c r="I5" s="681"/>
      <c r="J5" s="681"/>
      <c r="K5" s="682"/>
    </row>
    <row r="6" spans="1:11" ht="24.6" customHeight="1">
      <c r="A6" s="498"/>
      <c r="B6" s="499"/>
      <c r="C6" s="491"/>
      <c r="D6" s="491"/>
      <c r="E6" s="491"/>
      <c r="F6" s="491"/>
      <c r="G6" s="491"/>
      <c r="H6" s="491"/>
      <c r="I6" s="491"/>
      <c r="J6" s="491"/>
      <c r="K6" s="492"/>
    </row>
    <row r="7" spans="1:11" ht="24.6" customHeight="1">
      <c r="A7" s="498"/>
      <c r="B7" s="499"/>
      <c r="C7" s="491"/>
      <c r="D7" s="491"/>
      <c r="E7" s="491"/>
      <c r="F7" s="491"/>
      <c r="G7" s="491"/>
      <c r="H7" s="491"/>
      <c r="I7" s="491"/>
      <c r="J7" s="491"/>
      <c r="K7" s="492"/>
    </row>
    <row r="8" spans="1:11" ht="24.6" customHeight="1">
      <c r="A8" s="498"/>
      <c r="B8" s="499"/>
      <c r="C8" s="491"/>
      <c r="D8" s="491"/>
      <c r="E8" s="491"/>
      <c r="F8" s="491"/>
      <c r="G8" s="491"/>
      <c r="H8" s="491"/>
      <c r="I8" s="491"/>
      <c r="J8" s="491"/>
      <c r="K8" s="492"/>
    </row>
    <row r="9" spans="1:11" ht="24.6" customHeight="1">
      <c r="A9" s="493"/>
      <c r="B9" s="494"/>
      <c r="C9" s="491"/>
      <c r="D9" s="491"/>
      <c r="E9" s="491"/>
      <c r="F9" s="491"/>
      <c r="G9" s="491"/>
      <c r="H9" s="491"/>
      <c r="I9" s="491"/>
      <c r="J9" s="491"/>
      <c r="K9" s="492"/>
    </row>
    <row r="10" spans="1:11" ht="24.6" customHeight="1">
      <c r="A10" s="493"/>
      <c r="B10" s="494"/>
      <c r="C10" s="491"/>
      <c r="D10" s="491"/>
      <c r="E10" s="491"/>
      <c r="F10" s="491"/>
      <c r="G10" s="491"/>
      <c r="H10" s="491"/>
      <c r="I10" s="491"/>
      <c r="J10" s="491"/>
      <c r="K10" s="492"/>
    </row>
    <row r="11" spans="1:11" ht="24.6" customHeight="1">
      <c r="A11" s="498"/>
      <c r="B11" s="499"/>
      <c r="C11" s="491"/>
      <c r="D11" s="491"/>
      <c r="E11" s="491"/>
      <c r="F11" s="491"/>
      <c r="G11" s="491"/>
      <c r="H11" s="491"/>
      <c r="I11" s="491"/>
      <c r="J11" s="491"/>
      <c r="K11" s="492"/>
    </row>
    <row r="12" spans="1:11" ht="31.5">
      <c r="A12" s="500"/>
      <c r="B12" s="501"/>
      <c r="C12" s="501"/>
      <c r="D12" s="501"/>
      <c r="E12" s="501"/>
      <c r="F12" s="501"/>
      <c r="G12" s="501"/>
      <c r="H12" s="501"/>
      <c r="I12" s="501"/>
      <c r="J12" s="501"/>
      <c r="K12" s="502"/>
    </row>
    <row r="13" spans="1:11" ht="24.6" customHeight="1">
      <c r="A13" s="498"/>
      <c r="B13" s="499"/>
      <c r="C13" s="491"/>
      <c r="D13" s="491"/>
      <c r="E13" s="491"/>
      <c r="F13" s="491"/>
      <c r="G13" s="491"/>
      <c r="H13" s="491"/>
      <c r="I13" s="491"/>
      <c r="J13" s="491"/>
      <c r="K13" s="492"/>
    </row>
    <row r="14" spans="1:11" ht="24.6" customHeight="1">
      <c r="A14" s="493"/>
      <c r="B14" s="494"/>
      <c r="C14" s="491"/>
      <c r="D14" s="491"/>
      <c r="E14" s="491"/>
      <c r="F14" s="491"/>
      <c r="G14" s="491"/>
      <c r="H14" s="491"/>
      <c r="I14" s="491"/>
      <c r="J14" s="491"/>
      <c r="K14" s="492"/>
    </row>
    <row r="15" spans="1:11" ht="24.6" customHeight="1">
      <c r="A15" s="493"/>
      <c r="B15" s="494"/>
      <c r="C15" s="491"/>
      <c r="D15" s="491"/>
      <c r="E15" s="491"/>
      <c r="F15" s="491"/>
      <c r="G15" s="491"/>
      <c r="H15" s="491"/>
      <c r="I15" s="491"/>
      <c r="J15" s="491"/>
      <c r="K15" s="492"/>
    </row>
    <row r="16" spans="1:11" ht="24.6" customHeight="1">
      <c r="A16" s="498"/>
      <c r="B16" s="499"/>
      <c r="C16" s="491"/>
      <c r="D16" s="491"/>
      <c r="E16" s="491"/>
      <c r="F16" s="491"/>
      <c r="G16" s="491"/>
      <c r="H16" s="491"/>
      <c r="I16" s="491"/>
      <c r="J16" s="491"/>
      <c r="K16" s="492"/>
    </row>
    <row r="17" spans="1:11" s="508" customFormat="1" ht="36" customHeight="1">
      <c r="A17" s="506"/>
      <c r="B17" s="679" t="s">
        <v>347</v>
      </c>
      <c r="C17" s="679"/>
      <c r="D17" s="679"/>
      <c r="E17" s="679"/>
      <c r="F17" s="679"/>
      <c r="G17" s="679"/>
      <c r="H17" s="679"/>
      <c r="I17" s="679"/>
      <c r="J17" s="679"/>
      <c r="K17" s="507"/>
    </row>
    <row r="18" spans="1:11" ht="24.6" customHeight="1">
      <c r="A18" s="498"/>
      <c r="B18" s="499"/>
      <c r="C18" s="491"/>
      <c r="D18" s="491"/>
      <c r="E18" s="491"/>
      <c r="F18" s="491"/>
      <c r="G18" s="491"/>
      <c r="H18" s="491"/>
      <c r="I18" s="491"/>
      <c r="J18" s="491"/>
      <c r="K18" s="492"/>
    </row>
    <row r="19" spans="1:11" ht="24.6" customHeight="1">
      <c r="A19" s="498"/>
      <c r="B19" s="499"/>
      <c r="C19" s="491"/>
      <c r="D19" s="491"/>
      <c r="E19" s="491"/>
      <c r="F19" s="491"/>
      <c r="G19" s="491"/>
      <c r="H19" s="491"/>
      <c r="I19" s="491"/>
      <c r="J19" s="491"/>
      <c r="K19" s="492"/>
    </row>
    <row r="20" spans="1:11">
      <c r="A20" s="495"/>
      <c r="B20" s="496"/>
      <c r="C20" s="496"/>
      <c r="D20" s="496"/>
      <c r="E20" s="496"/>
      <c r="F20" s="496"/>
      <c r="G20" s="496"/>
      <c r="H20" s="496"/>
      <c r="I20" s="496"/>
      <c r="J20" s="496"/>
      <c r="K20" s="497"/>
    </row>
  </sheetData>
  <mergeCells count="2">
    <mergeCell ref="B17:J17"/>
    <mergeCell ref="A5:K5"/>
  </mergeCells>
  <phoneticPr fontId="2" type="noConversion"/>
  <pageMargins left="0.7" right="0.7" top="0.75" bottom="0.7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view="pageBreakPreview" zoomScaleNormal="100" zoomScaleSheetLayoutView="100" workbookViewId="0">
      <selection activeCell="J34" sqref="J34:J36"/>
    </sheetView>
  </sheetViews>
  <sheetFormatPr defaultRowHeight="20.25"/>
  <cols>
    <col min="1" max="1" width="22.6640625" style="84" customWidth="1"/>
    <col min="2" max="3" width="20.21875" style="84" customWidth="1"/>
    <col min="4" max="4" width="15.6640625" style="84" customWidth="1"/>
    <col min="5" max="5" width="47.5546875" style="90" customWidth="1"/>
    <col min="6" max="256" width="8.88671875" style="84"/>
    <col min="257" max="257" width="23.109375" style="84" customWidth="1"/>
    <col min="258" max="260" width="15.44140625" style="84" customWidth="1"/>
    <col min="261" max="261" width="39.5546875" style="84" customWidth="1"/>
    <col min="262" max="512" width="8.88671875" style="84"/>
    <col min="513" max="513" width="23.109375" style="84" customWidth="1"/>
    <col min="514" max="516" width="15.44140625" style="84" customWidth="1"/>
    <col min="517" max="517" width="39.5546875" style="84" customWidth="1"/>
    <col min="518" max="768" width="8.88671875" style="84"/>
    <col min="769" max="769" width="23.109375" style="84" customWidth="1"/>
    <col min="770" max="772" width="15.44140625" style="84" customWidth="1"/>
    <col min="773" max="773" width="39.5546875" style="84" customWidth="1"/>
    <col min="774" max="1024" width="8.88671875" style="84"/>
    <col min="1025" max="1025" width="23.109375" style="84" customWidth="1"/>
    <col min="1026" max="1028" width="15.44140625" style="84" customWidth="1"/>
    <col min="1029" max="1029" width="39.5546875" style="84" customWidth="1"/>
    <col min="1030" max="1280" width="8.88671875" style="84"/>
    <col min="1281" max="1281" width="23.109375" style="84" customWidth="1"/>
    <col min="1282" max="1284" width="15.44140625" style="84" customWidth="1"/>
    <col min="1285" max="1285" width="39.5546875" style="84" customWidth="1"/>
    <col min="1286" max="1536" width="8.88671875" style="84"/>
    <col min="1537" max="1537" width="23.109375" style="84" customWidth="1"/>
    <col min="1538" max="1540" width="15.44140625" style="84" customWidth="1"/>
    <col min="1541" max="1541" width="39.5546875" style="84" customWidth="1"/>
    <col min="1542" max="1792" width="8.88671875" style="84"/>
    <col min="1793" max="1793" width="23.109375" style="84" customWidth="1"/>
    <col min="1794" max="1796" width="15.44140625" style="84" customWidth="1"/>
    <col min="1797" max="1797" width="39.5546875" style="84" customWidth="1"/>
    <col min="1798" max="2048" width="8.88671875" style="84"/>
    <col min="2049" max="2049" width="23.109375" style="84" customWidth="1"/>
    <col min="2050" max="2052" width="15.44140625" style="84" customWidth="1"/>
    <col min="2053" max="2053" width="39.5546875" style="84" customWidth="1"/>
    <col min="2054" max="2304" width="8.88671875" style="84"/>
    <col min="2305" max="2305" width="23.109375" style="84" customWidth="1"/>
    <col min="2306" max="2308" width="15.44140625" style="84" customWidth="1"/>
    <col min="2309" max="2309" width="39.5546875" style="84" customWidth="1"/>
    <col min="2310" max="2560" width="8.88671875" style="84"/>
    <col min="2561" max="2561" width="23.109375" style="84" customWidth="1"/>
    <col min="2562" max="2564" width="15.44140625" style="84" customWidth="1"/>
    <col min="2565" max="2565" width="39.5546875" style="84" customWidth="1"/>
    <col min="2566" max="2816" width="8.88671875" style="84"/>
    <col min="2817" max="2817" width="23.109375" style="84" customWidth="1"/>
    <col min="2818" max="2820" width="15.44140625" style="84" customWidth="1"/>
    <col min="2821" max="2821" width="39.5546875" style="84" customWidth="1"/>
    <col min="2822" max="3072" width="8.88671875" style="84"/>
    <col min="3073" max="3073" width="23.109375" style="84" customWidth="1"/>
    <col min="3074" max="3076" width="15.44140625" style="84" customWidth="1"/>
    <col min="3077" max="3077" width="39.5546875" style="84" customWidth="1"/>
    <col min="3078" max="3328" width="8.88671875" style="84"/>
    <col min="3329" max="3329" width="23.109375" style="84" customWidth="1"/>
    <col min="3330" max="3332" width="15.44140625" style="84" customWidth="1"/>
    <col min="3333" max="3333" width="39.5546875" style="84" customWidth="1"/>
    <col min="3334" max="3584" width="8.88671875" style="84"/>
    <col min="3585" max="3585" width="23.109375" style="84" customWidth="1"/>
    <col min="3586" max="3588" width="15.44140625" style="84" customWidth="1"/>
    <col min="3589" max="3589" width="39.5546875" style="84" customWidth="1"/>
    <col min="3590" max="3840" width="8.88671875" style="84"/>
    <col min="3841" max="3841" width="23.109375" style="84" customWidth="1"/>
    <col min="3842" max="3844" width="15.44140625" style="84" customWidth="1"/>
    <col min="3845" max="3845" width="39.5546875" style="84" customWidth="1"/>
    <col min="3846" max="4096" width="8.88671875" style="84"/>
    <col min="4097" max="4097" width="23.109375" style="84" customWidth="1"/>
    <col min="4098" max="4100" width="15.44140625" style="84" customWidth="1"/>
    <col min="4101" max="4101" width="39.5546875" style="84" customWidth="1"/>
    <col min="4102" max="4352" width="8.88671875" style="84"/>
    <col min="4353" max="4353" width="23.109375" style="84" customWidth="1"/>
    <col min="4354" max="4356" width="15.44140625" style="84" customWidth="1"/>
    <col min="4357" max="4357" width="39.5546875" style="84" customWidth="1"/>
    <col min="4358" max="4608" width="8.88671875" style="84"/>
    <col min="4609" max="4609" width="23.109375" style="84" customWidth="1"/>
    <col min="4610" max="4612" width="15.44140625" style="84" customWidth="1"/>
    <col min="4613" max="4613" width="39.5546875" style="84" customWidth="1"/>
    <col min="4614" max="4864" width="8.88671875" style="84"/>
    <col min="4865" max="4865" width="23.109375" style="84" customWidth="1"/>
    <col min="4866" max="4868" width="15.44140625" style="84" customWidth="1"/>
    <col min="4869" max="4869" width="39.5546875" style="84" customWidth="1"/>
    <col min="4870" max="5120" width="8.88671875" style="84"/>
    <col min="5121" max="5121" width="23.109375" style="84" customWidth="1"/>
    <col min="5122" max="5124" width="15.44140625" style="84" customWidth="1"/>
    <col min="5125" max="5125" width="39.5546875" style="84" customWidth="1"/>
    <col min="5126" max="5376" width="8.88671875" style="84"/>
    <col min="5377" max="5377" width="23.109375" style="84" customWidth="1"/>
    <col min="5378" max="5380" width="15.44140625" style="84" customWidth="1"/>
    <col min="5381" max="5381" width="39.5546875" style="84" customWidth="1"/>
    <col min="5382" max="5632" width="8.88671875" style="84"/>
    <col min="5633" max="5633" width="23.109375" style="84" customWidth="1"/>
    <col min="5634" max="5636" width="15.44140625" style="84" customWidth="1"/>
    <col min="5637" max="5637" width="39.5546875" style="84" customWidth="1"/>
    <col min="5638" max="5888" width="8.88671875" style="84"/>
    <col min="5889" max="5889" width="23.109375" style="84" customWidth="1"/>
    <col min="5890" max="5892" width="15.44140625" style="84" customWidth="1"/>
    <col min="5893" max="5893" width="39.5546875" style="84" customWidth="1"/>
    <col min="5894" max="6144" width="8.88671875" style="84"/>
    <col min="6145" max="6145" width="23.109375" style="84" customWidth="1"/>
    <col min="6146" max="6148" width="15.44140625" style="84" customWidth="1"/>
    <col min="6149" max="6149" width="39.5546875" style="84" customWidth="1"/>
    <col min="6150" max="6400" width="8.88671875" style="84"/>
    <col min="6401" max="6401" width="23.109375" style="84" customWidth="1"/>
    <col min="6402" max="6404" width="15.44140625" style="84" customWidth="1"/>
    <col min="6405" max="6405" width="39.5546875" style="84" customWidth="1"/>
    <col min="6406" max="6656" width="8.88671875" style="84"/>
    <col min="6657" max="6657" width="23.109375" style="84" customWidth="1"/>
    <col min="6658" max="6660" width="15.44140625" style="84" customWidth="1"/>
    <col min="6661" max="6661" width="39.5546875" style="84" customWidth="1"/>
    <col min="6662" max="6912" width="8.88671875" style="84"/>
    <col min="6913" max="6913" width="23.109375" style="84" customWidth="1"/>
    <col min="6914" max="6916" width="15.44140625" style="84" customWidth="1"/>
    <col min="6917" max="6917" width="39.5546875" style="84" customWidth="1"/>
    <col min="6918" max="7168" width="8.88671875" style="84"/>
    <col min="7169" max="7169" width="23.109375" style="84" customWidth="1"/>
    <col min="7170" max="7172" width="15.44140625" style="84" customWidth="1"/>
    <col min="7173" max="7173" width="39.5546875" style="84" customWidth="1"/>
    <col min="7174" max="7424" width="8.88671875" style="84"/>
    <col min="7425" max="7425" width="23.109375" style="84" customWidth="1"/>
    <col min="7426" max="7428" width="15.44140625" style="84" customWidth="1"/>
    <col min="7429" max="7429" width="39.5546875" style="84" customWidth="1"/>
    <col min="7430" max="7680" width="8.88671875" style="84"/>
    <col min="7681" max="7681" width="23.109375" style="84" customWidth="1"/>
    <col min="7682" max="7684" width="15.44140625" style="84" customWidth="1"/>
    <col min="7685" max="7685" width="39.5546875" style="84" customWidth="1"/>
    <col min="7686" max="7936" width="8.88671875" style="84"/>
    <col min="7937" max="7937" width="23.109375" style="84" customWidth="1"/>
    <col min="7938" max="7940" width="15.44140625" style="84" customWidth="1"/>
    <col min="7941" max="7941" width="39.5546875" style="84" customWidth="1"/>
    <col min="7942" max="8192" width="8.88671875" style="84"/>
    <col min="8193" max="8193" width="23.109375" style="84" customWidth="1"/>
    <col min="8194" max="8196" width="15.44140625" style="84" customWidth="1"/>
    <col min="8197" max="8197" width="39.5546875" style="84" customWidth="1"/>
    <col min="8198" max="8448" width="8.88671875" style="84"/>
    <col min="8449" max="8449" width="23.109375" style="84" customWidth="1"/>
    <col min="8450" max="8452" width="15.44140625" style="84" customWidth="1"/>
    <col min="8453" max="8453" width="39.5546875" style="84" customWidth="1"/>
    <col min="8454" max="8704" width="8.88671875" style="84"/>
    <col min="8705" max="8705" width="23.109375" style="84" customWidth="1"/>
    <col min="8706" max="8708" width="15.44140625" style="84" customWidth="1"/>
    <col min="8709" max="8709" width="39.5546875" style="84" customWidth="1"/>
    <col min="8710" max="8960" width="8.88671875" style="84"/>
    <col min="8961" max="8961" width="23.109375" style="84" customWidth="1"/>
    <col min="8962" max="8964" width="15.44140625" style="84" customWidth="1"/>
    <col min="8965" max="8965" width="39.5546875" style="84" customWidth="1"/>
    <col min="8966" max="9216" width="8.88671875" style="84"/>
    <col min="9217" max="9217" width="23.109375" style="84" customWidth="1"/>
    <col min="9218" max="9220" width="15.44140625" style="84" customWidth="1"/>
    <col min="9221" max="9221" width="39.5546875" style="84" customWidth="1"/>
    <col min="9222" max="9472" width="8.88671875" style="84"/>
    <col min="9473" max="9473" width="23.109375" style="84" customWidth="1"/>
    <col min="9474" max="9476" width="15.44140625" style="84" customWidth="1"/>
    <col min="9477" max="9477" width="39.5546875" style="84" customWidth="1"/>
    <col min="9478" max="9728" width="8.88671875" style="84"/>
    <col min="9729" max="9729" width="23.109375" style="84" customWidth="1"/>
    <col min="9730" max="9732" width="15.44140625" style="84" customWidth="1"/>
    <col min="9733" max="9733" width="39.5546875" style="84" customWidth="1"/>
    <col min="9734" max="9984" width="8.88671875" style="84"/>
    <col min="9985" max="9985" width="23.109375" style="84" customWidth="1"/>
    <col min="9986" max="9988" width="15.44140625" style="84" customWidth="1"/>
    <col min="9989" max="9989" width="39.5546875" style="84" customWidth="1"/>
    <col min="9990" max="10240" width="8.88671875" style="84"/>
    <col min="10241" max="10241" width="23.109375" style="84" customWidth="1"/>
    <col min="10242" max="10244" width="15.44140625" style="84" customWidth="1"/>
    <col min="10245" max="10245" width="39.5546875" style="84" customWidth="1"/>
    <col min="10246" max="10496" width="8.88671875" style="84"/>
    <col min="10497" max="10497" width="23.109375" style="84" customWidth="1"/>
    <col min="10498" max="10500" width="15.44140625" style="84" customWidth="1"/>
    <col min="10501" max="10501" width="39.5546875" style="84" customWidth="1"/>
    <col min="10502" max="10752" width="8.88671875" style="84"/>
    <col min="10753" max="10753" width="23.109375" style="84" customWidth="1"/>
    <col min="10754" max="10756" width="15.44140625" style="84" customWidth="1"/>
    <col min="10757" max="10757" width="39.5546875" style="84" customWidth="1"/>
    <col min="10758" max="11008" width="8.88671875" style="84"/>
    <col min="11009" max="11009" width="23.109375" style="84" customWidth="1"/>
    <col min="11010" max="11012" width="15.44140625" style="84" customWidth="1"/>
    <col min="11013" max="11013" width="39.5546875" style="84" customWidth="1"/>
    <col min="11014" max="11264" width="8.88671875" style="84"/>
    <col min="11265" max="11265" width="23.109375" style="84" customWidth="1"/>
    <col min="11266" max="11268" width="15.44140625" style="84" customWidth="1"/>
    <col min="11269" max="11269" width="39.5546875" style="84" customWidth="1"/>
    <col min="11270" max="11520" width="8.88671875" style="84"/>
    <col min="11521" max="11521" width="23.109375" style="84" customWidth="1"/>
    <col min="11522" max="11524" width="15.44140625" style="84" customWidth="1"/>
    <col min="11525" max="11525" width="39.5546875" style="84" customWidth="1"/>
    <col min="11526" max="11776" width="8.88671875" style="84"/>
    <col min="11777" max="11777" width="23.109375" style="84" customWidth="1"/>
    <col min="11778" max="11780" width="15.44140625" style="84" customWidth="1"/>
    <col min="11781" max="11781" width="39.5546875" style="84" customWidth="1"/>
    <col min="11782" max="12032" width="8.88671875" style="84"/>
    <col min="12033" max="12033" width="23.109375" style="84" customWidth="1"/>
    <col min="12034" max="12036" width="15.44140625" style="84" customWidth="1"/>
    <col min="12037" max="12037" width="39.5546875" style="84" customWidth="1"/>
    <col min="12038" max="12288" width="8.88671875" style="84"/>
    <col min="12289" max="12289" width="23.109375" style="84" customWidth="1"/>
    <col min="12290" max="12292" width="15.44140625" style="84" customWidth="1"/>
    <col min="12293" max="12293" width="39.5546875" style="84" customWidth="1"/>
    <col min="12294" max="12544" width="8.88671875" style="84"/>
    <col min="12545" max="12545" width="23.109375" style="84" customWidth="1"/>
    <col min="12546" max="12548" width="15.44140625" style="84" customWidth="1"/>
    <col min="12549" max="12549" width="39.5546875" style="84" customWidth="1"/>
    <col min="12550" max="12800" width="8.88671875" style="84"/>
    <col min="12801" max="12801" width="23.109375" style="84" customWidth="1"/>
    <col min="12802" max="12804" width="15.44140625" style="84" customWidth="1"/>
    <col min="12805" max="12805" width="39.5546875" style="84" customWidth="1"/>
    <col min="12806" max="13056" width="8.88671875" style="84"/>
    <col min="13057" max="13057" width="23.109375" style="84" customWidth="1"/>
    <col min="13058" max="13060" width="15.44140625" style="84" customWidth="1"/>
    <col min="13061" max="13061" width="39.5546875" style="84" customWidth="1"/>
    <col min="13062" max="13312" width="8.88671875" style="84"/>
    <col min="13313" max="13313" width="23.109375" style="84" customWidth="1"/>
    <col min="13314" max="13316" width="15.44140625" style="84" customWidth="1"/>
    <col min="13317" max="13317" width="39.5546875" style="84" customWidth="1"/>
    <col min="13318" max="13568" width="8.88671875" style="84"/>
    <col min="13569" max="13569" width="23.109375" style="84" customWidth="1"/>
    <col min="13570" max="13572" width="15.44140625" style="84" customWidth="1"/>
    <col min="13573" max="13573" width="39.5546875" style="84" customWidth="1"/>
    <col min="13574" max="13824" width="8.88671875" style="84"/>
    <col min="13825" max="13825" width="23.109375" style="84" customWidth="1"/>
    <col min="13826" max="13828" width="15.44140625" style="84" customWidth="1"/>
    <col min="13829" max="13829" width="39.5546875" style="84" customWidth="1"/>
    <col min="13830" max="14080" width="8.88671875" style="84"/>
    <col min="14081" max="14081" width="23.109375" style="84" customWidth="1"/>
    <col min="14082" max="14084" width="15.44140625" style="84" customWidth="1"/>
    <col min="14085" max="14085" width="39.5546875" style="84" customWidth="1"/>
    <col min="14086" max="14336" width="8.88671875" style="84"/>
    <col min="14337" max="14337" width="23.109375" style="84" customWidth="1"/>
    <col min="14338" max="14340" width="15.44140625" style="84" customWidth="1"/>
    <col min="14341" max="14341" width="39.5546875" style="84" customWidth="1"/>
    <col min="14342" max="14592" width="8.88671875" style="84"/>
    <col min="14593" max="14593" width="23.109375" style="84" customWidth="1"/>
    <col min="14594" max="14596" width="15.44140625" style="84" customWidth="1"/>
    <col min="14597" max="14597" width="39.5546875" style="84" customWidth="1"/>
    <col min="14598" max="14848" width="8.88671875" style="84"/>
    <col min="14849" max="14849" width="23.109375" style="84" customWidth="1"/>
    <col min="14850" max="14852" width="15.44140625" style="84" customWidth="1"/>
    <col min="14853" max="14853" width="39.5546875" style="84" customWidth="1"/>
    <col min="14854" max="15104" width="8.88671875" style="84"/>
    <col min="15105" max="15105" width="23.109375" style="84" customWidth="1"/>
    <col min="15106" max="15108" width="15.44140625" style="84" customWidth="1"/>
    <col min="15109" max="15109" width="39.5546875" style="84" customWidth="1"/>
    <col min="15110" max="15360" width="8.88671875" style="84"/>
    <col min="15361" max="15361" width="23.109375" style="84" customWidth="1"/>
    <col min="15362" max="15364" width="15.44140625" style="84" customWidth="1"/>
    <col min="15365" max="15365" width="39.5546875" style="84" customWidth="1"/>
    <col min="15366" max="15616" width="8.88671875" style="84"/>
    <col min="15617" max="15617" width="23.109375" style="84" customWidth="1"/>
    <col min="15618" max="15620" width="15.44140625" style="84" customWidth="1"/>
    <col min="15621" max="15621" width="39.5546875" style="84" customWidth="1"/>
    <col min="15622" max="15872" width="8.88671875" style="84"/>
    <col min="15873" max="15873" width="23.109375" style="84" customWidth="1"/>
    <col min="15874" max="15876" width="15.44140625" style="84" customWidth="1"/>
    <col min="15877" max="15877" width="39.5546875" style="84" customWidth="1"/>
    <col min="15878" max="16128" width="8.88671875" style="84"/>
    <col min="16129" max="16129" width="23.109375" style="84" customWidth="1"/>
    <col min="16130" max="16132" width="15.44140625" style="84" customWidth="1"/>
    <col min="16133" max="16133" width="39.5546875" style="84" customWidth="1"/>
    <col min="16134" max="16384" width="8.88671875" style="84"/>
  </cols>
  <sheetData>
    <row r="1" spans="1:10" ht="36.75" customHeight="1">
      <c r="A1" s="683" t="s">
        <v>446</v>
      </c>
      <c r="B1" s="683"/>
      <c r="C1" s="683"/>
      <c r="D1" s="683"/>
      <c r="E1" s="683"/>
      <c r="F1" s="83"/>
      <c r="G1" s="83"/>
      <c r="H1" s="83"/>
    </row>
    <row r="2" spans="1:10" s="85" customFormat="1" ht="24" customHeight="1">
      <c r="A2" s="684" t="s">
        <v>348</v>
      </c>
      <c r="B2" s="684"/>
      <c r="C2" s="684"/>
      <c r="D2" s="684"/>
      <c r="E2" s="684"/>
      <c r="F2" s="684"/>
      <c r="G2" s="684"/>
      <c r="H2" s="684"/>
      <c r="I2" s="684"/>
      <c r="J2" s="684"/>
    </row>
    <row r="3" spans="1:10" s="85" customFormat="1" ht="24" customHeight="1">
      <c r="A3" s="86" t="s">
        <v>156</v>
      </c>
      <c r="B3" s="87"/>
      <c r="C3" s="88"/>
      <c r="D3" s="88"/>
      <c r="E3" s="89" t="s">
        <v>87</v>
      </c>
      <c r="F3" s="88"/>
      <c r="G3" s="88"/>
      <c r="H3" s="88"/>
      <c r="I3" s="90"/>
      <c r="J3" s="90"/>
    </row>
    <row r="4" spans="1:10" s="85" customFormat="1" ht="32.25" customHeight="1">
      <c r="A4" s="91" t="s">
        <v>88</v>
      </c>
      <c r="B4" s="92" t="s">
        <v>164</v>
      </c>
      <c r="C4" s="92" t="s">
        <v>349</v>
      </c>
      <c r="D4" s="92" t="s">
        <v>89</v>
      </c>
      <c r="E4" s="93" t="s">
        <v>90</v>
      </c>
      <c r="F4" s="88"/>
      <c r="G4" s="88"/>
      <c r="H4" s="88"/>
      <c r="I4" s="90"/>
      <c r="J4" s="90"/>
    </row>
    <row r="5" spans="1:10" s="85" customFormat="1" ht="32.25" customHeight="1">
      <c r="A5" s="115" t="s">
        <v>75</v>
      </c>
      <c r="B5" s="116">
        <f>SUM(B6:B10)</f>
        <v>3231535.5090000001</v>
      </c>
      <c r="C5" s="116">
        <f>SUM(C6:C10)</f>
        <v>3531329</v>
      </c>
      <c r="D5" s="117">
        <f t="shared" ref="D5:D10" si="0">C5-B5</f>
        <v>299793.49099999992</v>
      </c>
      <c r="E5" s="118"/>
      <c r="F5" s="88"/>
      <c r="G5" s="88"/>
      <c r="H5" s="88"/>
      <c r="I5" s="90"/>
      <c r="J5" s="90"/>
    </row>
    <row r="6" spans="1:10" s="85" customFormat="1" ht="32.25" customHeight="1">
      <c r="A6" s="94" t="s">
        <v>165</v>
      </c>
      <c r="B6" s="95">
        <f>세입세출총괄!D9</f>
        <v>1218455</v>
      </c>
      <c r="C6" s="95">
        <f>세입세출총괄!E9</f>
        <v>1484040</v>
      </c>
      <c r="D6" s="96">
        <f t="shared" si="0"/>
        <v>265585</v>
      </c>
      <c r="E6" s="108" t="s">
        <v>441</v>
      </c>
      <c r="F6" s="88"/>
      <c r="G6" s="88"/>
      <c r="H6" s="88"/>
      <c r="I6" s="90"/>
      <c r="J6" s="90"/>
    </row>
    <row r="7" spans="1:10" s="85" customFormat="1" ht="32.25" customHeight="1">
      <c r="A7" s="94" t="s">
        <v>167</v>
      </c>
      <c r="B7" s="95">
        <f>세입세출총괄!D10</f>
        <v>1873184</v>
      </c>
      <c r="C7" s="95">
        <f>세입세출총괄!E10</f>
        <v>2047289</v>
      </c>
      <c r="D7" s="96">
        <f t="shared" si="0"/>
        <v>174105</v>
      </c>
      <c r="E7" s="108" t="s">
        <v>450</v>
      </c>
      <c r="F7" s="88"/>
      <c r="G7" s="88"/>
      <c r="H7" s="88"/>
      <c r="I7" s="90"/>
      <c r="J7" s="90"/>
    </row>
    <row r="8" spans="1:10" s="85" customFormat="1" ht="32.25" customHeight="1">
      <c r="A8" s="94" t="s">
        <v>166</v>
      </c>
      <c r="B8" s="95">
        <f>세입세출총괄!D13</f>
        <v>15948</v>
      </c>
      <c r="C8" s="95">
        <f>세입세출총괄!E13</f>
        <v>0</v>
      </c>
      <c r="D8" s="96">
        <f t="shared" si="0"/>
        <v>-15948</v>
      </c>
      <c r="E8" s="108"/>
      <c r="F8" s="88"/>
      <c r="G8" s="88"/>
      <c r="H8" s="88"/>
      <c r="I8" s="90"/>
      <c r="J8" s="90"/>
    </row>
    <row r="9" spans="1:10" s="85" customFormat="1" ht="32.25" customHeight="1">
      <c r="A9" s="94" t="s">
        <v>98</v>
      </c>
      <c r="B9" s="95">
        <f>세입세출총괄!D16</f>
        <v>123723</v>
      </c>
      <c r="C9" s="95">
        <f>세입세출총괄!E16</f>
        <v>0</v>
      </c>
      <c r="D9" s="96">
        <f>C9-B9</f>
        <v>-123723</v>
      </c>
      <c r="E9" s="108"/>
      <c r="F9" s="88"/>
      <c r="G9" s="88"/>
      <c r="H9" s="88"/>
      <c r="I9" s="90"/>
      <c r="J9" s="90"/>
    </row>
    <row r="10" spans="1:10" s="85" customFormat="1" ht="32.25" customHeight="1">
      <c r="A10" s="97" t="s">
        <v>91</v>
      </c>
      <c r="B10" s="98">
        <f>세입세출총괄!D19</f>
        <v>225.50899999999999</v>
      </c>
      <c r="C10" s="98">
        <f>세입세출총괄!E19</f>
        <v>0</v>
      </c>
      <c r="D10" s="99">
        <f t="shared" si="0"/>
        <v>-225.50899999999999</v>
      </c>
      <c r="E10" s="556"/>
      <c r="F10" s="88"/>
      <c r="G10" s="88"/>
      <c r="H10" s="88"/>
      <c r="I10" s="90"/>
      <c r="J10" s="90"/>
    </row>
    <row r="11" spans="1:10" s="85" customFormat="1" ht="32.25" customHeight="1">
      <c r="A11" s="86" t="s">
        <v>157</v>
      </c>
      <c r="B11" s="100"/>
      <c r="C11" s="100"/>
      <c r="D11" s="100"/>
      <c r="E11" s="101"/>
      <c r="F11" s="102"/>
      <c r="G11" s="102"/>
      <c r="H11" s="102"/>
      <c r="I11" s="90"/>
      <c r="J11" s="90"/>
    </row>
    <row r="12" spans="1:10" s="85" customFormat="1" ht="32.25" customHeight="1">
      <c r="A12" s="103" t="s">
        <v>88</v>
      </c>
      <c r="B12" s="92" t="s">
        <v>164</v>
      </c>
      <c r="C12" s="92" t="s">
        <v>349</v>
      </c>
      <c r="D12" s="104" t="s">
        <v>89</v>
      </c>
      <c r="E12" s="105" t="s">
        <v>90</v>
      </c>
      <c r="F12" s="88"/>
      <c r="G12" s="88"/>
      <c r="H12" s="88"/>
      <c r="I12" s="90"/>
      <c r="J12" s="90"/>
    </row>
    <row r="13" spans="1:10" s="85" customFormat="1" ht="32.25" customHeight="1">
      <c r="A13" s="119" t="s">
        <v>75</v>
      </c>
      <c r="B13" s="120">
        <f>SUM(B14:B17)</f>
        <v>3231536</v>
      </c>
      <c r="C13" s="120">
        <f>SUM(C14:C17)</f>
        <v>3531329</v>
      </c>
      <c r="D13" s="121">
        <f>C13-B13</f>
        <v>299793</v>
      </c>
      <c r="E13" s="122"/>
      <c r="F13" s="88"/>
      <c r="G13" s="88"/>
      <c r="H13" s="88"/>
      <c r="I13" s="90"/>
      <c r="J13" s="90"/>
    </row>
    <row r="14" spans="1:10" s="85" customFormat="1" ht="32.25" customHeight="1">
      <c r="A14" s="106" t="s">
        <v>92</v>
      </c>
      <c r="B14" s="107">
        <f>세입세출총괄!L7</f>
        <v>1272910</v>
      </c>
      <c r="C14" s="107">
        <f>세입세출총괄!M7</f>
        <v>1277179</v>
      </c>
      <c r="D14" s="96">
        <f>C14-B14</f>
        <v>4269</v>
      </c>
      <c r="E14" s="108" t="s">
        <v>451</v>
      </c>
      <c r="F14" s="88"/>
      <c r="G14" s="88"/>
      <c r="H14" s="109"/>
      <c r="I14" s="90"/>
      <c r="J14" s="90"/>
    </row>
    <row r="15" spans="1:10" s="85" customFormat="1" ht="32.25" customHeight="1">
      <c r="A15" s="106" t="s">
        <v>52</v>
      </c>
      <c r="B15" s="107">
        <f>세입세출총괄!L24</f>
        <v>36555</v>
      </c>
      <c r="C15" s="107">
        <f>세입세출총괄!M24</f>
        <v>20431</v>
      </c>
      <c r="D15" s="96">
        <f>C15-B15</f>
        <v>-16124</v>
      </c>
      <c r="E15" s="108" t="s">
        <v>452</v>
      </c>
      <c r="F15" s="88"/>
      <c r="G15" s="88"/>
      <c r="H15" s="109"/>
      <c r="I15" s="90"/>
      <c r="J15" s="90"/>
    </row>
    <row r="16" spans="1:10" s="85" customFormat="1" ht="32.25" customHeight="1">
      <c r="A16" s="94" t="s">
        <v>93</v>
      </c>
      <c r="B16" s="95">
        <f>세입세출총괄!L28</f>
        <v>1921939</v>
      </c>
      <c r="C16" s="95">
        <f>세입세출총괄!M28</f>
        <v>2233719</v>
      </c>
      <c r="D16" s="96">
        <f>C16-B16</f>
        <v>311780</v>
      </c>
      <c r="E16" s="108" t="s">
        <v>442</v>
      </c>
      <c r="F16" s="88"/>
      <c r="G16" s="88"/>
      <c r="H16" s="109"/>
      <c r="I16" s="90"/>
      <c r="J16" s="90"/>
    </row>
    <row r="17" spans="1:12" s="85" customFormat="1" ht="32.25" customHeight="1">
      <c r="A17" s="97" t="s">
        <v>94</v>
      </c>
      <c r="B17" s="110">
        <f>세입세출총괄!L71</f>
        <v>132</v>
      </c>
      <c r="C17" s="110">
        <f>세입세출총괄!M71</f>
        <v>0</v>
      </c>
      <c r="D17" s="99">
        <f>C17-B17</f>
        <v>-132</v>
      </c>
      <c r="E17" s="394"/>
      <c r="F17" s="88"/>
      <c r="G17" s="88"/>
      <c r="H17" s="88"/>
      <c r="I17" s="88"/>
      <c r="J17" s="88"/>
      <c r="K17" s="111"/>
      <c r="L17" s="111"/>
    </row>
    <row r="18" spans="1:12" s="85" customFormat="1" ht="27.75" customHeight="1">
      <c r="A18" s="112" t="s">
        <v>158</v>
      </c>
      <c r="B18" s="113"/>
      <c r="C18" s="114"/>
      <c r="D18" s="114"/>
      <c r="E18" s="88"/>
      <c r="F18" s="111"/>
      <c r="G18" s="111"/>
      <c r="H18" s="111"/>
      <c r="I18" s="111"/>
      <c r="J18" s="111"/>
      <c r="K18" s="111"/>
      <c r="L18" s="111"/>
    </row>
    <row r="19" spans="1:12" s="85" customFormat="1" ht="27.75" customHeight="1">
      <c r="A19" s="114" t="s">
        <v>132</v>
      </c>
      <c r="B19" s="113"/>
      <c r="C19" s="114"/>
      <c r="D19" s="114"/>
      <c r="E19" s="88"/>
      <c r="F19" s="111"/>
      <c r="G19" s="111"/>
      <c r="H19" s="111"/>
      <c r="I19" s="111"/>
      <c r="J19" s="111"/>
      <c r="K19" s="111"/>
      <c r="L19" s="111"/>
    </row>
    <row r="20" spans="1:12" s="85" customFormat="1">
      <c r="A20" s="114"/>
      <c r="B20" s="113"/>
      <c r="C20" s="114"/>
      <c r="D20" s="114"/>
      <c r="E20" s="88"/>
      <c r="F20" s="111"/>
      <c r="G20" s="111"/>
      <c r="H20" s="111"/>
      <c r="I20" s="111"/>
      <c r="J20" s="111"/>
      <c r="K20" s="111"/>
      <c r="L20" s="111"/>
    </row>
  </sheetData>
  <mergeCells count="2">
    <mergeCell ref="A1:E1"/>
    <mergeCell ref="A2:J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74"/>
  <sheetViews>
    <sheetView tabSelected="1" view="pageBreakPreview" zoomScaleNormal="100" zoomScaleSheetLayoutView="100" workbookViewId="0">
      <selection activeCell="O57" sqref="O57"/>
    </sheetView>
  </sheetViews>
  <sheetFormatPr defaultColWidth="10.44140625" defaultRowHeight="13.5"/>
  <cols>
    <col min="1" max="3" width="10.33203125" style="123" customWidth="1"/>
    <col min="4" max="4" width="12.5546875" style="123" bestFit="1" customWidth="1"/>
    <col min="5" max="5" width="12.5546875" style="123" customWidth="1"/>
    <col min="6" max="6" width="11.44140625" style="139" bestFit="1" customWidth="1"/>
    <col min="7" max="7" width="8.77734375" style="435" customWidth="1"/>
    <col min="8" max="8" width="1.33203125" style="140" customWidth="1"/>
    <col min="9" max="9" width="6.77734375" style="123" customWidth="1"/>
    <col min="10" max="10" width="13.44140625" style="136" bestFit="1" customWidth="1"/>
    <col min="11" max="11" width="15.44140625" style="123" bestFit="1" customWidth="1"/>
    <col min="12" max="13" width="12.5546875" style="123" bestFit="1" customWidth="1"/>
    <col min="14" max="14" width="9.77734375" style="137" customWidth="1"/>
    <col min="15" max="15" width="8.77734375" style="138" bestFit="1" customWidth="1"/>
    <col min="16" max="16384" width="10.44140625" style="123"/>
  </cols>
  <sheetData>
    <row r="1" spans="1:17" ht="37.5">
      <c r="A1" s="713" t="s">
        <v>447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</row>
    <row r="2" spans="1:17" s="124" customFormat="1" ht="12.75" thickBot="1">
      <c r="A2" s="714" t="s">
        <v>100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4"/>
    </row>
    <row r="3" spans="1:17" ht="24" customHeight="1">
      <c r="A3" s="715" t="s">
        <v>111</v>
      </c>
      <c r="B3" s="716"/>
      <c r="C3" s="716"/>
      <c r="D3" s="716"/>
      <c r="E3" s="716"/>
      <c r="F3" s="716"/>
      <c r="G3" s="717"/>
      <c r="H3" s="548"/>
      <c r="I3" s="718" t="s">
        <v>112</v>
      </c>
      <c r="J3" s="716"/>
      <c r="K3" s="716"/>
      <c r="L3" s="716"/>
      <c r="M3" s="716"/>
      <c r="N3" s="716"/>
      <c r="O3" s="719"/>
    </row>
    <row r="4" spans="1:17" ht="17.25" customHeight="1">
      <c r="A4" s="725" t="s">
        <v>113</v>
      </c>
      <c r="B4" s="726"/>
      <c r="C4" s="723"/>
      <c r="D4" s="720" t="s">
        <v>350</v>
      </c>
      <c r="E4" s="720" t="s">
        <v>351</v>
      </c>
      <c r="F4" s="722" t="s">
        <v>114</v>
      </c>
      <c r="G4" s="723"/>
      <c r="H4" s="125"/>
      <c r="I4" s="722" t="s">
        <v>115</v>
      </c>
      <c r="J4" s="726"/>
      <c r="K4" s="723"/>
      <c r="L4" s="720" t="s">
        <v>352</v>
      </c>
      <c r="M4" s="720" t="s">
        <v>351</v>
      </c>
      <c r="N4" s="722" t="s">
        <v>114</v>
      </c>
      <c r="O4" s="724"/>
    </row>
    <row r="5" spans="1:17" ht="25.9" customHeight="1">
      <c r="A5" s="460" t="s">
        <v>116</v>
      </c>
      <c r="B5" s="461" t="s">
        <v>103</v>
      </c>
      <c r="C5" s="461" t="s">
        <v>117</v>
      </c>
      <c r="D5" s="721"/>
      <c r="E5" s="721"/>
      <c r="F5" s="462" t="s">
        <v>118</v>
      </c>
      <c r="G5" s="463" t="s">
        <v>119</v>
      </c>
      <c r="H5" s="126"/>
      <c r="I5" s="461" t="s">
        <v>120</v>
      </c>
      <c r="J5" s="461" t="s">
        <v>121</v>
      </c>
      <c r="K5" s="461" t="s">
        <v>117</v>
      </c>
      <c r="L5" s="721"/>
      <c r="M5" s="721"/>
      <c r="N5" s="464" t="s">
        <v>118</v>
      </c>
      <c r="O5" s="465" t="s">
        <v>122</v>
      </c>
    </row>
    <row r="6" spans="1:17" s="129" customFormat="1" ht="20.100000000000001" customHeight="1">
      <c r="A6" s="685" t="s">
        <v>123</v>
      </c>
      <c r="B6" s="686"/>
      <c r="C6" s="687"/>
      <c r="D6" s="466">
        <f>D7+D10+D13+D19+D16</f>
        <v>3231535.5090000001</v>
      </c>
      <c r="E6" s="466">
        <f>E7+E10+E13+E19+E16</f>
        <v>3531329</v>
      </c>
      <c r="F6" s="467">
        <f>E6-D6</f>
        <v>299793.49099999992</v>
      </c>
      <c r="G6" s="468">
        <f>F6/D6</f>
        <v>9.2771219800945687E-2</v>
      </c>
      <c r="H6" s="127"/>
      <c r="I6" s="691" t="s">
        <v>123</v>
      </c>
      <c r="J6" s="686"/>
      <c r="K6" s="687"/>
      <c r="L6" s="466">
        <f>SUM(L7,L28,L71,L24)</f>
        <v>3231536</v>
      </c>
      <c r="M6" s="466">
        <f>SUM(M7,M28,M71,M24)</f>
        <v>3531329</v>
      </c>
      <c r="N6" s="469">
        <f t="shared" ref="N6:N74" si="0">M6-L6</f>
        <v>299793</v>
      </c>
      <c r="O6" s="470">
        <f t="shared" ref="O6:O41" si="1">N6/L6</f>
        <v>9.2771053765144496E-2</v>
      </c>
      <c r="P6" s="128"/>
      <c r="Q6" s="128"/>
    </row>
    <row r="7" spans="1:17" ht="20.100000000000001" customHeight="1">
      <c r="A7" s="688" t="s">
        <v>124</v>
      </c>
      <c r="B7" s="689"/>
      <c r="C7" s="690"/>
      <c r="D7" s="471">
        <f>SUM(D8)</f>
        <v>1218455</v>
      </c>
      <c r="E7" s="471">
        <f>SUM(E8)</f>
        <v>1484040</v>
      </c>
      <c r="F7" s="472">
        <f>E7-D7</f>
        <v>265585</v>
      </c>
      <c r="G7" s="473">
        <f t="shared" ref="G7:G8" si="2">F7/D7</f>
        <v>0.21796865702877824</v>
      </c>
      <c r="H7" s="130"/>
      <c r="I7" s="694" t="s">
        <v>124</v>
      </c>
      <c r="J7" s="689"/>
      <c r="K7" s="690"/>
      <c r="L7" s="471">
        <f>SUM(L8+L14+L17)</f>
        <v>1272910</v>
      </c>
      <c r="M7" s="471">
        <f>SUM(M8+M14+M17)</f>
        <v>1277179</v>
      </c>
      <c r="N7" s="472">
        <f t="shared" si="0"/>
        <v>4269</v>
      </c>
      <c r="O7" s="474">
        <f t="shared" si="1"/>
        <v>3.3537327855072234E-3</v>
      </c>
    </row>
    <row r="8" spans="1:17" ht="20.100000000000001" customHeight="1">
      <c r="A8" s="704" t="s">
        <v>168</v>
      </c>
      <c r="B8" s="532" t="s">
        <v>125</v>
      </c>
      <c r="C8" s="533"/>
      <c r="D8" s="475">
        <f>SUM(D9)</f>
        <v>1218455</v>
      </c>
      <c r="E8" s="475">
        <f>SUM(E9)</f>
        <v>1484040</v>
      </c>
      <c r="F8" s="476">
        <f>E8-D8</f>
        <v>265585</v>
      </c>
      <c r="G8" s="477">
        <f t="shared" si="2"/>
        <v>0.21796865702877824</v>
      </c>
      <c r="H8" s="130"/>
      <c r="I8" s="590" t="s">
        <v>71</v>
      </c>
      <c r="J8" s="532" t="s">
        <v>126</v>
      </c>
      <c r="K8" s="533"/>
      <c r="L8" s="475">
        <f>SUM(L9:L13)</f>
        <v>1148589</v>
      </c>
      <c r="M8" s="475">
        <f>SUM(M9:M13)</f>
        <v>1145613</v>
      </c>
      <c r="N8" s="476">
        <f t="shared" si="0"/>
        <v>-2976</v>
      </c>
      <c r="O8" s="478">
        <f t="shared" si="1"/>
        <v>-2.5910051376079692E-3</v>
      </c>
    </row>
    <row r="9" spans="1:17" ht="20.100000000000001" customHeight="1">
      <c r="A9" s="704"/>
      <c r="B9" s="479" t="s">
        <v>168</v>
      </c>
      <c r="C9" s="479" t="s">
        <v>343</v>
      </c>
      <c r="D9" s="480">
        <f>'2021년 세입예산서'!D8</f>
        <v>1218455</v>
      </c>
      <c r="E9" s="480">
        <f>'2021년 세입예산서'!E8</f>
        <v>1484040</v>
      </c>
      <c r="F9" s="481">
        <f t="shared" ref="F9" si="3">E9-D9</f>
        <v>265585</v>
      </c>
      <c r="G9" s="482">
        <f t="shared" ref="G9" si="4">F9/D9</f>
        <v>0.21796865702877824</v>
      </c>
      <c r="H9" s="130"/>
      <c r="I9" s="591"/>
      <c r="J9" s="587" t="s">
        <v>127</v>
      </c>
      <c r="K9" s="479" t="s">
        <v>128</v>
      </c>
      <c r="L9" s="480">
        <f>'2021년 세출예산서'!D8</f>
        <v>717011</v>
      </c>
      <c r="M9" s="480">
        <f>'2021년 세출예산서'!E8</f>
        <v>782366</v>
      </c>
      <c r="N9" s="481">
        <f t="shared" si="0"/>
        <v>65355</v>
      </c>
      <c r="O9" s="483">
        <f t="shared" si="1"/>
        <v>9.1149229230792828E-2</v>
      </c>
    </row>
    <row r="10" spans="1:17" ht="20.100000000000001" customHeight="1">
      <c r="A10" s="688" t="s">
        <v>124</v>
      </c>
      <c r="B10" s="689"/>
      <c r="C10" s="690"/>
      <c r="D10" s="471">
        <f>SUM(D11)</f>
        <v>1873184</v>
      </c>
      <c r="E10" s="471">
        <f>E11</f>
        <v>2047289</v>
      </c>
      <c r="F10" s="472">
        <f t="shared" ref="F10:F12" si="5">E10-D10</f>
        <v>174105</v>
      </c>
      <c r="G10" s="473">
        <f t="shared" ref="G10:G15" si="6">F10/D10</f>
        <v>9.2946021319848984E-2</v>
      </c>
      <c r="H10" s="130"/>
      <c r="I10" s="591"/>
      <c r="J10" s="588"/>
      <c r="K10" s="479" t="s">
        <v>129</v>
      </c>
      <c r="L10" s="480">
        <f>'2021년 세출예산서'!D42</f>
        <v>261710</v>
      </c>
      <c r="M10" s="480">
        <f>'2021년 세출예산서'!E42</f>
        <v>180723</v>
      </c>
      <c r="N10" s="481">
        <f t="shared" si="0"/>
        <v>-80987</v>
      </c>
      <c r="O10" s="483">
        <f t="shared" si="1"/>
        <v>-0.30945321157005845</v>
      </c>
      <c r="Q10" s="131"/>
    </row>
    <row r="11" spans="1:17" ht="20.100000000000001" customHeight="1">
      <c r="A11" s="704" t="s">
        <v>169</v>
      </c>
      <c r="B11" s="532" t="s">
        <v>126</v>
      </c>
      <c r="C11" s="533"/>
      <c r="D11" s="475">
        <f>SUM(D12)</f>
        <v>1873184</v>
      </c>
      <c r="E11" s="475">
        <f>E12</f>
        <v>2047289</v>
      </c>
      <c r="F11" s="476">
        <f t="shared" si="5"/>
        <v>174105</v>
      </c>
      <c r="G11" s="477">
        <f t="shared" si="6"/>
        <v>9.2946021319848984E-2</v>
      </c>
      <c r="H11" s="130"/>
      <c r="I11" s="591"/>
      <c r="J11" s="589"/>
      <c r="K11" s="479" t="s">
        <v>364</v>
      </c>
      <c r="L11" s="480">
        <f>'2021년 세출예산서'!D76</f>
        <v>84746</v>
      </c>
      <c r="M11" s="480">
        <f>'2021년 세출예산서'!E76</f>
        <v>80631</v>
      </c>
      <c r="N11" s="481">
        <f>M11-L11</f>
        <v>-4115</v>
      </c>
      <c r="O11" s="483">
        <f t="shared" si="1"/>
        <v>-4.8556864040780683E-2</v>
      </c>
    </row>
    <row r="12" spans="1:17" ht="20.100000000000001" customHeight="1">
      <c r="A12" s="704"/>
      <c r="B12" s="534" t="s">
        <v>344</v>
      </c>
      <c r="C12" s="534" t="s">
        <v>167</v>
      </c>
      <c r="D12" s="480">
        <f>'2021년 세입예산서'!D14</f>
        <v>1873184</v>
      </c>
      <c r="E12" s="480">
        <f>'2021년 세입예산서'!E14</f>
        <v>2047289</v>
      </c>
      <c r="F12" s="481">
        <f t="shared" si="5"/>
        <v>174105</v>
      </c>
      <c r="G12" s="482">
        <f t="shared" ref="G12" si="7">F12/D12</f>
        <v>9.2946021319848984E-2</v>
      </c>
      <c r="H12" s="130"/>
      <c r="I12" s="591"/>
      <c r="J12" s="589"/>
      <c r="K12" s="479" t="s">
        <v>432</v>
      </c>
      <c r="L12" s="480">
        <f>'2021년 세출예산서'!D78</f>
        <v>84413</v>
      </c>
      <c r="M12" s="480">
        <f>'2021년 세출예산서'!E78</f>
        <v>101073</v>
      </c>
      <c r="N12" s="481">
        <f t="shared" si="0"/>
        <v>16660</v>
      </c>
      <c r="O12" s="483">
        <f t="shared" si="1"/>
        <v>0.19736296542001824</v>
      </c>
    </row>
    <row r="13" spans="1:17" ht="20.100000000000001" customHeight="1">
      <c r="A13" s="688" t="s">
        <v>124</v>
      </c>
      <c r="B13" s="689"/>
      <c r="C13" s="690"/>
      <c r="D13" s="471">
        <f>SUM(D14)</f>
        <v>15948</v>
      </c>
      <c r="E13" s="471">
        <f>E14</f>
        <v>0</v>
      </c>
      <c r="F13" s="472">
        <f t="shared" ref="F13:F15" si="8">E13-D13</f>
        <v>-15948</v>
      </c>
      <c r="G13" s="473">
        <f t="shared" si="6"/>
        <v>-1</v>
      </c>
      <c r="H13" s="130"/>
      <c r="I13" s="591"/>
      <c r="J13" s="589"/>
      <c r="K13" s="479" t="s">
        <v>433</v>
      </c>
      <c r="L13" s="480">
        <f>'2021년 세출예산서'!D85</f>
        <v>709</v>
      </c>
      <c r="M13" s="480">
        <f>'2021년 세출예산서'!E85</f>
        <v>820</v>
      </c>
      <c r="N13" s="481">
        <f t="shared" ref="N13" si="9">M13-L13</f>
        <v>111</v>
      </c>
      <c r="O13" s="483">
        <f t="shared" ref="O13" si="10">N13/L13</f>
        <v>0.15655853314527504</v>
      </c>
    </row>
    <row r="14" spans="1:17" ht="20.100000000000001" customHeight="1">
      <c r="A14" s="704" t="s">
        <v>84</v>
      </c>
      <c r="B14" s="532" t="s">
        <v>126</v>
      </c>
      <c r="C14" s="533"/>
      <c r="D14" s="475">
        <f>SUM(D15)</f>
        <v>15948</v>
      </c>
      <c r="E14" s="475">
        <f>E15</f>
        <v>0</v>
      </c>
      <c r="F14" s="476">
        <f t="shared" si="8"/>
        <v>-15948</v>
      </c>
      <c r="G14" s="477">
        <f t="shared" si="6"/>
        <v>-1</v>
      </c>
      <c r="H14" s="130"/>
      <c r="I14" s="591"/>
      <c r="J14" s="575" t="s">
        <v>125</v>
      </c>
      <c r="K14" s="576"/>
      <c r="L14" s="475">
        <f>SUM(L15:L16)</f>
        <v>11115</v>
      </c>
      <c r="M14" s="475">
        <f>SUM(M15:M16)</f>
        <v>17025</v>
      </c>
      <c r="N14" s="476">
        <f t="shared" ref="N14" si="11">M14-L14</f>
        <v>5910</v>
      </c>
      <c r="O14" s="478">
        <f>N14/L14</f>
        <v>0.53171390013495279</v>
      </c>
    </row>
    <row r="15" spans="1:17" ht="20.100000000000001" customHeight="1">
      <c r="A15" s="704"/>
      <c r="B15" s="534" t="s">
        <v>84</v>
      </c>
      <c r="C15" s="534" t="s">
        <v>345</v>
      </c>
      <c r="D15" s="480">
        <f>'2021년 세입예산서'!D21</f>
        <v>15948</v>
      </c>
      <c r="E15" s="480">
        <f>'2021년 세입예산서'!E21</f>
        <v>0</v>
      </c>
      <c r="F15" s="481">
        <f t="shared" si="8"/>
        <v>-15948</v>
      </c>
      <c r="G15" s="482">
        <f t="shared" si="6"/>
        <v>-1</v>
      </c>
      <c r="H15" s="130"/>
      <c r="I15" s="591"/>
      <c r="J15" s="588"/>
      <c r="K15" s="479" t="s">
        <v>280</v>
      </c>
      <c r="L15" s="480">
        <f>'2021년 세출예산서'!D88</f>
        <v>10246</v>
      </c>
      <c r="M15" s="480">
        <f>'2021년 세출예산서'!E88</f>
        <v>14310</v>
      </c>
      <c r="N15" s="481">
        <f t="shared" si="0"/>
        <v>4064</v>
      </c>
      <c r="O15" s="483">
        <f t="shared" ref="O15" si="12">N15/L15</f>
        <v>0.39664259223111459</v>
      </c>
    </row>
    <row r="16" spans="1:17" ht="20.100000000000001" customHeight="1">
      <c r="A16" s="688" t="s">
        <v>124</v>
      </c>
      <c r="B16" s="689"/>
      <c r="C16" s="690"/>
      <c r="D16" s="471">
        <f>SUM(D17)</f>
        <v>123723</v>
      </c>
      <c r="E16" s="471">
        <f>E17</f>
        <v>0</v>
      </c>
      <c r="F16" s="472">
        <f t="shared" ref="F16:F21" si="13">E16-D16</f>
        <v>-123723</v>
      </c>
      <c r="G16" s="473">
        <f t="shared" ref="G16:G21" si="14">F16/D16</f>
        <v>-1</v>
      </c>
      <c r="H16" s="130"/>
      <c r="I16" s="591"/>
      <c r="J16" s="588"/>
      <c r="K16" s="479" t="s">
        <v>283</v>
      </c>
      <c r="L16" s="480">
        <f>'2021년 세출예산서'!D90</f>
        <v>869</v>
      </c>
      <c r="M16" s="480">
        <f>'2021년 세출예산서'!E90</f>
        <v>2715</v>
      </c>
      <c r="N16" s="481">
        <f t="shared" si="0"/>
        <v>1846</v>
      </c>
      <c r="O16" s="484">
        <f t="shared" ref="O16:O22" si="15">N16/L16</f>
        <v>2.1242807825086305</v>
      </c>
    </row>
    <row r="17" spans="1:19" ht="20.100000000000001" customHeight="1">
      <c r="A17" s="704" t="s">
        <v>109</v>
      </c>
      <c r="B17" s="532" t="s">
        <v>126</v>
      </c>
      <c r="C17" s="533"/>
      <c r="D17" s="475">
        <f>SUM(D18)</f>
        <v>123723</v>
      </c>
      <c r="E17" s="475">
        <f>E18</f>
        <v>0</v>
      </c>
      <c r="F17" s="476">
        <f t="shared" si="13"/>
        <v>-123723</v>
      </c>
      <c r="G17" s="477">
        <f t="shared" si="14"/>
        <v>-1</v>
      </c>
      <c r="H17" s="130"/>
      <c r="I17" s="591"/>
      <c r="J17" s="575" t="s">
        <v>125</v>
      </c>
      <c r="K17" s="576"/>
      <c r="L17" s="475">
        <f>SUM(L18:L23)</f>
        <v>113206</v>
      </c>
      <c r="M17" s="475">
        <f>SUM(M18:M23)</f>
        <v>114541</v>
      </c>
      <c r="N17" s="476">
        <f t="shared" si="0"/>
        <v>1335</v>
      </c>
      <c r="O17" s="478">
        <f>N17/L17</f>
        <v>1.1792661166369274E-2</v>
      </c>
    </row>
    <row r="18" spans="1:19" ht="20.100000000000001" customHeight="1">
      <c r="A18" s="704"/>
      <c r="B18" s="534" t="s">
        <v>109</v>
      </c>
      <c r="C18" s="534" t="s">
        <v>109</v>
      </c>
      <c r="D18" s="480">
        <f>'2021년 세입예산서'!D25</f>
        <v>123723</v>
      </c>
      <c r="E18" s="480">
        <f>'2021년 세입예산서'!E25</f>
        <v>0</v>
      </c>
      <c r="F18" s="481">
        <f t="shared" si="13"/>
        <v>-123723</v>
      </c>
      <c r="G18" s="482">
        <f t="shared" si="14"/>
        <v>-1</v>
      </c>
      <c r="H18" s="130"/>
      <c r="I18" s="591"/>
      <c r="J18" s="588"/>
      <c r="K18" s="479" t="s">
        <v>308</v>
      </c>
      <c r="L18" s="480">
        <f>'2021년 세출예산서'!D93</f>
        <v>2523</v>
      </c>
      <c r="M18" s="480">
        <f>'2021년 세출예산서'!E93</f>
        <v>12777</v>
      </c>
      <c r="N18" s="481">
        <f t="shared" si="0"/>
        <v>10254</v>
      </c>
      <c r="O18" s="483">
        <f t="shared" si="15"/>
        <v>4.0642092746730087</v>
      </c>
    </row>
    <row r="19" spans="1:19" ht="20.100000000000001" customHeight="1">
      <c r="A19" s="688" t="s">
        <v>124</v>
      </c>
      <c r="B19" s="689"/>
      <c r="C19" s="690"/>
      <c r="D19" s="471">
        <f>SUM(D20)</f>
        <v>225.50899999999999</v>
      </c>
      <c r="E19" s="471">
        <f>E20</f>
        <v>0</v>
      </c>
      <c r="F19" s="472">
        <f t="shared" si="13"/>
        <v>-225.50899999999999</v>
      </c>
      <c r="G19" s="473">
        <f t="shared" si="14"/>
        <v>-1</v>
      </c>
      <c r="H19" s="130"/>
      <c r="I19" s="591"/>
      <c r="J19" s="588"/>
      <c r="K19" s="479" t="s">
        <v>309</v>
      </c>
      <c r="L19" s="480">
        <f>'2021년 세출예산서'!D95</f>
        <v>40518</v>
      </c>
      <c r="M19" s="480">
        <f>'2021년 세출예산서'!E95</f>
        <v>44580</v>
      </c>
      <c r="N19" s="481">
        <f t="shared" si="0"/>
        <v>4062</v>
      </c>
      <c r="O19" s="484">
        <f t="shared" si="15"/>
        <v>0.10025173996742189</v>
      </c>
    </row>
    <row r="20" spans="1:19" ht="20.100000000000001" customHeight="1">
      <c r="A20" s="704" t="s">
        <v>107</v>
      </c>
      <c r="B20" s="532" t="s">
        <v>126</v>
      </c>
      <c r="C20" s="533"/>
      <c r="D20" s="475">
        <f>SUM(D21)</f>
        <v>225.50899999999999</v>
      </c>
      <c r="E20" s="475">
        <f>E21</f>
        <v>0</v>
      </c>
      <c r="F20" s="476">
        <f t="shared" si="13"/>
        <v>-225.50899999999999</v>
      </c>
      <c r="G20" s="477">
        <f t="shared" si="14"/>
        <v>-1</v>
      </c>
      <c r="H20" s="130"/>
      <c r="I20" s="591"/>
      <c r="J20" s="588"/>
      <c r="K20" s="479" t="s">
        <v>310</v>
      </c>
      <c r="L20" s="480">
        <f>'2021년 세출예산서'!D100</f>
        <v>20075</v>
      </c>
      <c r="M20" s="480">
        <f>'2021년 세출예산서'!E100</f>
        <v>25006</v>
      </c>
      <c r="N20" s="481">
        <f t="shared" si="0"/>
        <v>4931</v>
      </c>
      <c r="O20" s="483">
        <f t="shared" si="15"/>
        <v>0.24562889165628893</v>
      </c>
    </row>
    <row r="21" spans="1:19" ht="20.100000000000001" customHeight="1">
      <c r="A21" s="704"/>
      <c r="B21" s="534" t="s">
        <v>107</v>
      </c>
      <c r="C21" s="534" t="s">
        <v>107</v>
      </c>
      <c r="D21" s="480">
        <f>'2021년 세입예산서'!D31</f>
        <v>225.50899999999999</v>
      </c>
      <c r="E21" s="480">
        <f>'2021년 세입예산서'!E31</f>
        <v>0</v>
      </c>
      <c r="F21" s="481">
        <f t="shared" si="13"/>
        <v>-225.50899999999999</v>
      </c>
      <c r="G21" s="482">
        <f t="shared" si="14"/>
        <v>-1</v>
      </c>
      <c r="H21" s="130"/>
      <c r="I21" s="591"/>
      <c r="J21" s="588"/>
      <c r="K21" s="479" t="s">
        <v>311</v>
      </c>
      <c r="L21" s="480">
        <f>'2021년 세출예산서'!D103</f>
        <v>8425</v>
      </c>
      <c r="M21" s="480">
        <f>'2021년 세출예산서'!E103</f>
        <v>3960</v>
      </c>
      <c r="N21" s="481">
        <f t="shared" si="0"/>
        <v>-4465</v>
      </c>
      <c r="O21" s="484">
        <f t="shared" si="15"/>
        <v>-0.5299703264094956</v>
      </c>
    </row>
    <row r="22" spans="1:19" ht="20.100000000000001" customHeight="1">
      <c r="A22" s="695"/>
      <c r="B22" s="696"/>
      <c r="C22" s="696"/>
      <c r="D22" s="696"/>
      <c r="E22" s="696"/>
      <c r="F22" s="696"/>
      <c r="G22" s="697"/>
      <c r="H22" s="132"/>
      <c r="I22" s="591"/>
      <c r="J22" s="588"/>
      <c r="K22" s="479" t="s">
        <v>312</v>
      </c>
      <c r="L22" s="480">
        <f>'2021년 세출예산서'!D107</f>
        <v>2557</v>
      </c>
      <c r="M22" s="480">
        <f>'2021년 세출예산서'!E107</f>
        <v>1600</v>
      </c>
      <c r="N22" s="481">
        <f t="shared" si="0"/>
        <v>-957</v>
      </c>
      <c r="O22" s="484">
        <f t="shared" si="15"/>
        <v>-0.37426671881110679</v>
      </c>
    </row>
    <row r="23" spans="1:19" ht="18.95" customHeight="1">
      <c r="A23" s="698"/>
      <c r="B23" s="699"/>
      <c r="C23" s="699"/>
      <c r="D23" s="699"/>
      <c r="E23" s="699"/>
      <c r="F23" s="699"/>
      <c r="G23" s="700"/>
      <c r="H23" s="133"/>
      <c r="I23" s="592"/>
      <c r="J23" s="589"/>
      <c r="K23" s="479" t="s">
        <v>276</v>
      </c>
      <c r="L23" s="480">
        <f>'2021년 세출예산서'!D110</f>
        <v>39108</v>
      </c>
      <c r="M23" s="480">
        <f>'2021년 세출예산서'!E110</f>
        <v>26618</v>
      </c>
      <c r="N23" s="481">
        <f>M23-L23</f>
        <v>-12490</v>
      </c>
      <c r="O23" s="483">
        <f t="shared" ref="O23:O27" si="16">N23/L23</f>
        <v>-0.31937199549964201</v>
      </c>
    </row>
    <row r="24" spans="1:19" ht="18.95" customHeight="1">
      <c r="A24" s="698"/>
      <c r="B24" s="699"/>
      <c r="C24" s="699"/>
      <c r="D24" s="699"/>
      <c r="E24" s="699"/>
      <c r="F24" s="699"/>
      <c r="G24" s="700"/>
      <c r="H24" s="134"/>
      <c r="I24" s="694" t="s">
        <v>124</v>
      </c>
      <c r="J24" s="689"/>
      <c r="K24" s="690"/>
      <c r="L24" s="471">
        <f>SUM(L25)</f>
        <v>36555</v>
      </c>
      <c r="M24" s="471">
        <f>SUM(M25)</f>
        <v>20431</v>
      </c>
      <c r="N24" s="472">
        <f t="shared" ref="N24:N27" si="17">M24-L24</f>
        <v>-16124</v>
      </c>
      <c r="O24" s="474">
        <f t="shared" si="16"/>
        <v>-0.44108877034605387</v>
      </c>
    </row>
    <row r="25" spans="1:19" ht="18.95" customHeight="1">
      <c r="A25" s="698"/>
      <c r="B25" s="699"/>
      <c r="C25" s="699"/>
      <c r="D25" s="699"/>
      <c r="E25" s="699"/>
      <c r="F25" s="699"/>
      <c r="G25" s="700"/>
      <c r="H25" s="133"/>
      <c r="I25" s="710" t="s">
        <v>313</v>
      </c>
      <c r="J25" s="611" t="s">
        <v>126</v>
      </c>
      <c r="K25" s="612"/>
      <c r="L25" s="475">
        <f>SUM(L26:L27)</f>
        <v>36555</v>
      </c>
      <c r="M25" s="475">
        <f>SUM(M26:M27)</f>
        <v>20431</v>
      </c>
      <c r="N25" s="476">
        <f t="shared" si="17"/>
        <v>-16124</v>
      </c>
      <c r="O25" s="478">
        <f t="shared" si="16"/>
        <v>-0.44108877034605387</v>
      </c>
    </row>
    <row r="26" spans="1:19" ht="18.95" customHeight="1">
      <c r="A26" s="698"/>
      <c r="B26" s="699"/>
      <c r="C26" s="699"/>
      <c r="D26" s="699"/>
      <c r="E26" s="699"/>
      <c r="F26" s="699"/>
      <c r="G26" s="700"/>
      <c r="H26" s="133"/>
      <c r="I26" s="711"/>
      <c r="J26" s="708" t="s">
        <v>314</v>
      </c>
      <c r="K26" s="479" t="s">
        <v>314</v>
      </c>
      <c r="L26" s="480">
        <f>'2021년 세출예산서'!D116</f>
        <v>4332</v>
      </c>
      <c r="M26" s="480">
        <f>'2021년 세출예산서'!E116</f>
        <v>4000</v>
      </c>
      <c r="N26" s="481">
        <f t="shared" si="17"/>
        <v>-332</v>
      </c>
      <c r="O26" s="483">
        <f t="shared" si="16"/>
        <v>-7.663896583564174E-2</v>
      </c>
      <c r="P26" s="131"/>
      <c r="Q26" s="131"/>
      <c r="R26" s="131"/>
      <c r="S26" s="131"/>
    </row>
    <row r="27" spans="1:19" ht="18.95" customHeight="1">
      <c r="A27" s="698"/>
      <c r="B27" s="699"/>
      <c r="C27" s="699"/>
      <c r="D27" s="699"/>
      <c r="E27" s="699"/>
      <c r="F27" s="699"/>
      <c r="G27" s="700"/>
      <c r="H27" s="133"/>
      <c r="I27" s="711"/>
      <c r="J27" s="709"/>
      <c r="K27" s="479" t="s">
        <v>289</v>
      </c>
      <c r="L27" s="480">
        <f>'2021년 세출예산서'!D118</f>
        <v>32223</v>
      </c>
      <c r="M27" s="480">
        <f>'2021년 세출예산서'!E118</f>
        <v>16431</v>
      </c>
      <c r="N27" s="481">
        <f t="shared" si="17"/>
        <v>-15792</v>
      </c>
      <c r="O27" s="483">
        <f t="shared" si="16"/>
        <v>-0.49008472209291498</v>
      </c>
    </row>
    <row r="28" spans="1:19" ht="18.95" customHeight="1">
      <c r="A28" s="698"/>
      <c r="B28" s="699"/>
      <c r="C28" s="699"/>
      <c r="D28" s="699"/>
      <c r="E28" s="699"/>
      <c r="F28" s="699"/>
      <c r="G28" s="700"/>
      <c r="H28" s="133"/>
      <c r="I28" s="705" t="s">
        <v>124</v>
      </c>
      <c r="J28" s="706"/>
      <c r="K28" s="707"/>
      <c r="L28" s="471">
        <f>SUM(L29,L41,L44,L49,L59,L62,L64,L37,L39)</f>
        <v>1921939</v>
      </c>
      <c r="M28" s="471">
        <f>SUM(M29,M41,M44,M49,M59,M62,M64,M37,M39)</f>
        <v>2233719</v>
      </c>
      <c r="N28" s="472">
        <f t="shared" ref="N28" si="18">M28-L28</f>
        <v>311780</v>
      </c>
      <c r="O28" s="474">
        <f t="shared" ref="O28" si="19">N28/L28</f>
        <v>0.16222158975909226</v>
      </c>
      <c r="P28" s="131"/>
      <c r="Q28" s="131"/>
      <c r="R28" s="131"/>
      <c r="S28" s="131"/>
    </row>
    <row r="29" spans="1:19" ht="18.95" customHeight="1">
      <c r="A29" s="698"/>
      <c r="B29" s="699"/>
      <c r="C29" s="699"/>
      <c r="D29" s="699"/>
      <c r="E29" s="699"/>
      <c r="F29" s="699"/>
      <c r="G29" s="700"/>
      <c r="H29" s="133"/>
      <c r="I29" s="710" t="s">
        <v>51</v>
      </c>
      <c r="J29" s="692" t="s">
        <v>125</v>
      </c>
      <c r="K29" s="693"/>
      <c r="L29" s="475">
        <f>SUM(L30:L36)</f>
        <v>52741</v>
      </c>
      <c r="M29" s="475">
        <f>SUM(M30:M36)</f>
        <v>32290</v>
      </c>
      <c r="N29" s="476">
        <f t="shared" ref="N29:N37" si="20">M29-L29</f>
        <v>-20451</v>
      </c>
      <c r="O29" s="478">
        <f t="shared" ref="O29:O30" si="21">N29/L29</f>
        <v>-0.38776284105344988</v>
      </c>
      <c r="P29" s="131"/>
      <c r="Q29" s="131"/>
      <c r="R29" s="131"/>
      <c r="S29" s="131"/>
    </row>
    <row r="30" spans="1:19" ht="18.95" customHeight="1">
      <c r="A30" s="698"/>
      <c r="B30" s="699"/>
      <c r="C30" s="699"/>
      <c r="D30" s="699"/>
      <c r="E30" s="699"/>
      <c r="F30" s="699"/>
      <c r="G30" s="700"/>
      <c r="H30" s="133"/>
      <c r="I30" s="711"/>
      <c r="J30" s="727" t="s">
        <v>315</v>
      </c>
      <c r="K30" s="545" t="s">
        <v>316</v>
      </c>
      <c r="L30" s="480">
        <f>'2021년 세출예산서'!D123</f>
        <v>7310</v>
      </c>
      <c r="M30" s="480">
        <f>'2021년 세출예산서'!E123</f>
        <v>5500</v>
      </c>
      <c r="N30" s="481">
        <f t="shared" si="20"/>
        <v>-1810</v>
      </c>
      <c r="O30" s="483">
        <f t="shared" si="21"/>
        <v>-0.2476060191518468</v>
      </c>
      <c r="P30" s="131"/>
      <c r="Q30" s="131"/>
      <c r="R30" s="131"/>
      <c r="S30" s="131"/>
    </row>
    <row r="31" spans="1:19" ht="18.95" customHeight="1">
      <c r="A31" s="698"/>
      <c r="B31" s="699"/>
      <c r="C31" s="699"/>
      <c r="D31" s="699"/>
      <c r="E31" s="699"/>
      <c r="F31" s="699"/>
      <c r="G31" s="700"/>
      <c r="H31" s="133"/>
      <c r="I31" s="711"/>
      <c r="J31" s="729"/>
      <c r="K31" s="545" t="s">
        <v>317</v>
      </c>
      <c r="L31" s="480">
        <f>'2021년 세출예산서'!D127</f>
        <v>23076</v>
      </c>
      <c r="M31" s="480">
        <f>'2021년 세출예산서'!E127</f>
        <v>17450</v>
      </c>
      <c r="N31" s="481">
        <f t="shared" si="20"/>
        <v>-5626</v>
      </c>
      <c r="O31" s="483">
        <f t="shared" ref="O31" si="22">N31/L31</f>
        <v>-0.24380308545675161</v>
      </c>
      <c r="P31" s="131"/>
      <c r="Q31" s="131"/>
      <c r="R31" s="131"/>
      <c r="S31" s="131"/>
    </row>
    <row r="32" spans="1:19" ht="18.95" customHeight="1">
      <c r="A32" s="698"/>
      <c r="B32" s="699"/>
      <c r="C32" s="699"/>
      <c r="D32" s="699"/>
      <c r="E32" s="699"/>
      <c r="F32" s="699"/>
      <c r="G32" s="700"/>
      <c r="H32" s="133"/>
      <c r="I32" s="711"/>
      <c r="J32" s="729"/>
      <c r="K32" s="545" t="s">
        <v>319</v>
      </c>
      <c r="L32" s="480">
        <f>'2021년 세출예산서'!D131</f>
        <v>1201</v>
      </c>
      <c r="M32" s="480">
        <f>'2021년 세출예산서'!E131</f>
        <v>2340</v>
      </c>
      <c r="N32" s="481">
        <f t="shared" si="20"/>
        <v>1139</v>
      </c>
      <c r="O32" s="483">
        <f t="shared" ref="O32:O36" si="23">N32/L32</f>
        <v>0.94837635303913403</v>
      </c>
      <c r="P32" s="131"/>
      <c r="Q32" s="131"/>
      <c r="R32" s="131"/>
      <c r="S32" s="131"/>
    </row>
    <row r="33" spans="1:19" ht="18.95" customHeight="1">
      <c r="A33" s="701"/>
      <c r="B33" s="702"/>
      <c r="C33" s="702"/>
      <c r="D33" s="702"/>
      <c r="E33" s="702"/>
      <c r="F33" s="702"/>
      <c r="G33" s="703"/>
      <c r="H33" s="617"/>
      <c r="I33" s="712"/>
      <c r="J33" s="730"/>
      <c r="K33" s="618" t="s">
        <v>318</v>
      </c>
      <c r="L33" s="619">
        <f>'2021년 세출예산서'!D137</f>
        <v>8706</v>
      </c>
      <c r="M33" s="619">
        <f>'2021년 세출예산서'!E137</f>
        <v>6000</v>
      </c>
      <c r="N33" s="620">
        <f t="shared" si="20"/>
        <v>-2706</v>
      </c>
      <c r="O33" s="621">
        <f t="shared" si="23"/>
        <v>-0.31082012405237769</v>
      </c>
      <c r="P33" s="131"/>
      <c r="Q33" s="131"/>
      <c r="R33" s="131"/>
      <c r="S33" s="131"/>
    </row>
    <row r="34" spans="1:19" ht="18.95" customHeight="1">
      <c r="A34" s="731"/>
      <c r="B34" s="732"/>
      <c r="C34" s="732"/>
      <c r="D34" s="732"/>
      <c r="E34" s="732"/>
      <c r="F34" s="732"/>
      <c r="G34" s="733"/>
      <c r="H34" s="133"/>
      <c r="I34" s="744" t="s">
        <v>476</v>
      </c>
      <c r="J34" s="729" t="s">
        <v>440</v>
      </c>
      <c r="K34" s="622" t="s">
        <v>320</v>
      </c>
      <c r="L34" s="623">
        <f>'2021년 세출예산서'!D140</f>
        <v>3000</v>
      </c>
      <c r="M34" s="623">
        <f>'2021년 세출예산서'!E140</f>
        <v>1000</v>
      </c>
      <c r="N34" s="624">
        <f t="shared" si="20"/>
        <v>-2000</v>
      </c>
      <c r="O34" s="625">
        <f t="shared" si="23"/>
        <v>-0.66666666666666663</v>
      </c>
      <c r="P34" s="131"/>
      <c r="Q34" s="131"/>
      <c r="R34" s="131"/>
      <c r="S34" s="131"/>
    </row>
    <row r="35" spans="1:19" ht="18.95" customHeight="1">
      <c r="A35" s="731"/>
      <c r="B35" s="732"/>
      <c r="C35" s="732"/>
      <c r="D35" s="732"/>
      <c r="E35" s="732"/>
      <c r="F35" s="732"/>
      <c r="G35" s="733"/>
      <c r="H35" s="133"/>
      <c r="I35" s="744"/>
      <c r="J35" s="729"/>
      <c r="K35" s="545" t="s">
        <v>321</v>
      </c>
      <c r="L35" s="480">
        <f>'2021년 세출예산서'!D142</f>
        <v>500</v>
      </c>
      <c r="M35" s="480">
        <f>'2021년 세출예산서'!E142</f>
        <v>0</v>
      </c>
      <c r="N35" s="481">
        <f t="shared" si="20"/>
        <v>-500</v>
      </c>
      <c r="O35" s="483">
        <f>N35/L35</f>
        <v>-1</v>
      </c>
    </row>
    <row r="36" spans="1:19" ht="18.95" customHeight="1">
      <c r="A36" s="731"/>
      <c r="B36" s="732"/>
      <c r="C36" s="732"/>
      <c r="D36" s="732"/>
      <c r="E36" s="732"/>
      <c r="F36" s="732"/>
      <c r="G36" s="733"/>
      <c r="H36" s="133"/>
      <c r="I36" s="744"/>
      <c r="J36" s="728"/>
      <c r="K36" s="545" t="s">
        <v>322</v>
      </c>
      <c r="L36" s="480">
        <f>'2021년 세출예산서'!D144</f>
        <v>8948</v>
      </c>
      <c r="M36" s="480">
        <f>'2021년 세출예산서'!E144</f>
        <v>0</v>
      </c>
      <c r="N36" s="481">
        <f t="shared" si="20"/>
        <v>-8948</v>
      </c>
      <c r="O36" s="483">
        <f t="shared" si="23"/>
        <v>-1</v>
      </c>
      <c r="P36" s="131"/>
      <c r="Q36" s="131"/>
      <c r="R36" s="131"/>
      <c r="S36" s="131"/>
    </row>
    <row r="37" spans="1:19" ht="18.95" customHeight="1">
      <c r="A37" s="731"/>
      <c r="B37" s="732"/>
      <c r="C37" s="732"/>
      <c r="D37" s="732"/>
      <c r="E37" s="732"/>
      <c r="F37" s="732"/>
      <c r="G37" s="733"/>
      <c r="H37" s="133"/>
      <c r="I37" s="744"/>
      <c r="J37" s="692" t="s">
        <v>125</v>
      </c>
      <c r="K37" s="693"/>
      <c r="L37" s="475">
        <f>SUM(L38)</f>
        <v>0</v>
      </c>
      <c r="M37" s="475">
        <f>SUM(M38)</f>
        <v>4560</v>
      </c>
      <c r="N37" s="476">
        <f t="shared" si="20"/>
        <v>4560</v>
      </c>
      <c r="O37" s="478">
        <f>N37/M37</f>
        <v>1</v>
      </c>
      <c r="P37" s="131"/>
      <c r="Q37" s="131"/>
      <c r="R37" s="131"/>
      <c r="S37" s="131"/>
    </row>
    <row r="38" spans="1:19" ht="36.75" customHeight="1">
      <c r="A38" s="731"/>
      <c r="B38" s="732"/>
      <c r="C38" s="732"/>
      <c r="D38" s="732"/>
      <c r="E38" s="732"/>
      <c r="F38" s="732"/>
      <c r="G38" s="733"/>
      <c r="H38" s="133"/>
      <c r="I38" s="744"/>
      <c r="J38" s="613" t="s">
        <v>473</v>
      </c>
      <c r="K38" s="555" t="s">
        <v>473</v>
      </c>
      <c r="L38" s="480">
        <v>0</v>
      </c>
      <c r="M38" s="480">
        <f>'2021년 세출예산서'!E146</f>
        <v>4560</v>
      </c>
      <c r="N38" s="481">
        <f>M38-L38</f>
        <v>4560</v>
      </c>
      <c r="O38" s="483">
        <f>N38/M38</f>
        <v>1</v>
      </c>
      <c r="P38" s="131"/>
      <c r="Q38" s="131"/>
      <c r="R38" s="131"/>
      <c r="S38" s="131"/>
    </row>
    <row r="39" spans="1:19" ht="18.95" customHeight="1">
      <c r="A39" s="731"/>
      <c r="B39" s="732"/>
      <c r="C39" s="732"/>
      <c r="D39" s="732"/>
      <c r="E39" s="732"/>
      <c r="F39" s="732"/>
      <c r="G39" s="733"/>
      <c r="H39" s="133"/>
      <c r="I39" s="744"/>
      <c r="J39" s="692" t="s">
        <v>125</v>
      </c>
      <c r="K39" s="693"/>
      <c r="L39" s="475">
        <f>SUM(L40)</f>
        <v>0</v>
      </c>
      <c r="M39" s="475">
        <f>SUM(M40)</f>
        <v>10000</v>
      </c>
      <c r="N39" s="476">
        <f t="shared" ref="N39" si="24">M39-L39</f>
        <v>10000</v>
      </c>
      <c r="O39" s="478">
        <f>N39/M39</f>
        <v>1</v>
      </c>
      <c r="P39" s="131"/>
      <c r="Q39" s="131"/>
      <c r="R39" s="131"/>
      <c r="S39" s="131"/>
    </row>
    <row r="40" spans="1:19" ht="35.25" customHeight="1">
      <c r="A40" s="731"/>
      <c r="B40" s="732"/>
      <c r="C40" s="732"/>
      <c r="D40" s="732"/>
      <c r="E40" s="732"/>
      <c r="F40" s="732"/>
      <c r="G40" s="733"/>
      <c r="H40" s="133"/>
      <c r="I40" s="744"/>
      <c r="J40" s="613" t="s">
        <v>474</v>
      </c>
      <c r="K40" s="555" t="s">
        <v>475</v>
      </c>
      <c r="L40" s="480">
        <v>0</v>
      </c>
      <c r="M40" s="480">
        <f>'2021년 세출예산서'!E149</f>
        <v>10000</v>
      </c>
      <c r="N40" s="481">
        <f>M40-L40</f>
        <v>10000</v>
      </c>
      <c r="O40" s="483">
        <f>N40/M40</f>
        <v>1</v>
      </c>
      <c r="P40" s="131"/>
      <c r="Q40" s="131"/>
      <c r="R40" s="131"/>
      <c r="S40" s="131"/>
    </row>
    <row r="41" spans="1:19" ht="18.95" customHeight="1">
      <c r="A41" s="731"/>
      <c r="B41" s="732"/>
      <c r="C41" s="732"/>
      <c r="D41" s="732"/>
      <c r="E41" s="732"/>
      <c r="F41" s="732"/>
      <c r="G41" s="733"/>
      <c r="H41" s="133"/>
      <c r="I41" s="744"/>
      <c r="J41" s="692" t="s">
        <v>125</v>
      </c>
      <c r="K41" s="693"/>
      <c r="L41" s="475">
        <f>SUM(L42:L43)</f>
        <v>20566</v>
      </c>
      <c r="M41" s="475">
        <f>SUM(M42:M43)</f>
        <v>40560</v>
      </c>
      <c r="N41" s="476">
        <f t="shared" si="0"/>
        <v>19994</v>
      </c>
      <c r="O41" s="478">
        <f t="shared" si="1"/>
        <v>0.97218710493046778</v>
      </c>
      <c r="P41" s="131"/>
      <c r="Q41" s="131"/>
      <c r="R41" s="131"/>
      <c r="S41" s="131"/>
    </row>
    <row r="42" spans="1:19" ht="18.95" customHeight="1">
      <c r="A42" s="731"/>
      <c r="B42" s="732"/>
      <c r="C42" s="732"/>
      <c r="D42" s="732"/>
      <c r="E42" s="732"/>
      <c r="F42" s="732"/>
      <c r="G42" s="733"/>
      <c r="H42" s="133"/>
      <c r="I42" s="744"/>
      <c r="J42" s="727" t="s">
        <v>323</v>
      </c>
      <c r="K42" s="545" t="s">
        <v>325</v>
      </c>
      <c r="L42" s="480">
        <f>'2021년 세출예산서'!D153</f>
        <v>14558</v>
      </c>
      <c r="M42" s="480">
        <f>'2021년 세출예산서'!E153</f>
        <v>28000</v>
      </c>
      <c r="N42" s="481">
        <f t="shared" si="0"/>
        <v>13442</v>
      </c>
      <c r="O42" s="483">
        <f>N42/L42</f>
        <v>0.92334111828547882</v>
      </c>
    </row>
    <row r="43" spans="1:19" ht="18.95" customHeight="1">
      <c r="A43" s="731"/>
      <c r="B43" s="732"/>
      <c r="C43" s="732"/>
      <c r="D43" s="732"/>
      <c r="E43" s="732"/>
      <c r="F43" s="732"/>
      <c r="G43" s="733"/>
      <c r="H43" s="547"/>
      <c r="I43" s="744"/>
      <c r="J43" s="728"/>
      <c r="K43" s="545" t="s">
        <v>326</v>
      </c>
      <c r="L43" s="480">
        <f>'2021년 세출예산서'!D156</f>
        <v>6008</v>
      </c>
      <c r="M43" s="480">
        <f>'2021년 세출예산서'!E156</f>
        <v>12560</v>
      </c>
      <c r="N43" s="481">
        <f>M43-L43</f>
        <v>6552</v>
      </c>
      <c r="O43" s="483">
        <f>N43/L43</f>
        <v>1.0905459387483356</v>
      </c>
      <c r="P43" s="131"/>
      <c r="Q43" s="131"/>
      <c r="R43" s="131"/>
      <c r="S43" s="131"/>
    </row>
    <row r="44" spans="1:19" ht="18.95" customHeight="1">
      <c r="A44" s="731"/>
      <c r="B44" s="732"/>
      <c r="C44" s="732"/>
      <c r="D44" s="732"/>
      <c r="E44" s="732"/>
      <c r="F44" s="732"/>
      <c r="G44" s="733"/>
      <c r="H44" s="133"/>
      <c r="I44" s="744"/>
      <c r="J44" s="692" t="s">
        <v>125</v>
      </c>
      <c r="K44" s="693"/>
      <c r="L44" s="475">
        <f>SUM(L45:L48)</f>
        <v>60200</v>
      </c>
      <c r="M44" s="475">
        <f>SUM(M45:M48)</f>
        <v>57144</v>
      </c>
      <c r="N44" s="476">
        <f t="shared" ref="N44:N45" si="25">M44-L44</f>
        <v>-3056</v>
      </c>
      <c r="O44" s="478">
        <f t="shared" ref="O44" si="26">N44/L44</f>
        <v>-5.0764119601328907E-2</v>
      </c>
      <c r="P44" s="131"/>
      <c r="Q44" s="131"/>
      <c r="R44" s="131"/>
      <c r="S44" s="131"/>
    </row>
    <row r="45" spans="1:19" ht="18.95" customHeight="1">
      <c r="A45" s="731"/>
      <c r="B45" s="732"/>
      <c r="C45" s="732"/>
      <c r="D45" s="732"/>
      <c r="E45" s="732"/>
      <c r="F45" s="732"/>
      <c r="G45" s="733"/>
      <c r="H45" s="133"/>
      <c r="I45" s="744"/>
      <c r="J45" s="727" t="s">
        <v>324</v>
      </c>
      <c r="K45" s="545" t="s">
        <v>327</v>
      </c>
      <c r="L45" s="480">
        <f>'2021년 세출예산서'!D162</f>
        <v>6200</v>
      </c>
      <c r="M45" s="480">
        <f>'2021년 세출예산서'!E162</f>
        <v>4000</v>
      </c>
      <c r="N45" s="481">
        <f t="shared" si="25"/>
        <v>-2200</v>
      </c>
      <c r="O45" s="483">
        <f>N45/L45</f>
        <v>-0.35483870967741937</v>
      </c>
      <c r="P45" s="131"/>
      <c r="Q45" s="131"/>
      <c r="R45" s="131"/>
      <c r="S45" s="131"/>
    </row>
    <row r="46" spans="1:19" ht="18.95" customHeight="1">
      <c r="A46" s="731"/>
      <c r="B46" s="732"/>
      <c r="C46" s="732"/>
      <c r="D46" s="732"/>
      <c r="E46" s="732"/>
      <c r="F46" s="732"/>
      <c r="G46" s="733"/>
      <c r="H46" s="133"/>
      <c r="I46" s="744"/>
      <c r="J46" s="729"/>
      <c r="K46" s="545" t="s">
        <v>328</v>
      </c>
      <c r="L46" s="480">
        <f>'2021년 세출예산서'!D165</f>
        <v>6700</v>
      </c>
      <c r="M46" s="480">
        <f>'2021년 세출예산서'!E165</f>
        <v>8200</v>
      </c>
      <c r="N46" s="481">
        <f t="shared" ref="N46:N48" si="27">M46-L46</f>
        <v>1500</v>
      </c>
      <c r="O46" s="483">
        <f>N46/L46</f>
        <v>0.22388059701492538</v>
      </c>
      <c r="P46" s="131"/>
      <c r="Q46" s="131"/>
      <c r="R46" s="131"/>
      <c r="S46" s="131"/>
    </row>
    <row r="47" spans="1:19" ht="18.95" customHeight="1">
      <c r="A47" s="731"/>
      <c r="B47" s="732"/>
      <c r="C47" s="732"/>
      <c r="D47" s="732"/>
      <c r="E47" s="732"/>
      <c r="F47" s="732"/>
      <c r="G47" s="733"/>
      <c r="H47" s="133"/>
      <c r="I47" s="744"/>
      <c r="J47" s="729"/>
      <c r="K47" s="545" t="s">
        <v>329</v>
      </c>
      <c r="L47" s="480">
        <f>'2021년 세출예산서'!D169</f>
        <v>7040</v>
      </c>
      <c r="M47" s="480">
        <f>'2021년 세출예산서'!E169</f>
        <v>6000</v>
      </c>
      <c r="N47" s="481">
        <f t="shared" si="27"/>
        <v>-1040</v>
      </c>
      <c r="O47" s="483">
        <f t="shared" ref="O47:O48" si="28">N47/L47</f>
        <v>-0.14772727272727273</v>
      </c>
    </row>
    <row r="48" spans="1:19" ht="18.95" customHeight="1">
      <c r="A48" s="731"/>
      <c r="B48" s="732"/>
      <c r="C48" s="732"/>
      <c r="D48" s="732"/>
      <c r="E48" s="732"/>
      <c r="F48" s="732"/>
      <c r="G48" s="733"/>
      <c r="H48" s="133"/>
      <c r="I48" s="744"/>
      <c r="J48" s="728"/>
      <c r="K48" s="545" t="s">
        <v>330</v>
      </c>
      <c r="L48" s="480">
        <f>'2021년 세출예산서'!D172</f>
        <v>40260</v>
      </c>
      <c r="M48" s="480">
        <f>'2021년 세출예산서'!E172</f>
        <v>38944</v>
      </c>
      <c r="N48" s="481">
        <f t="shared" si="27"/>
        <v>-1316</v>
      </c>
      <c r="O48" s="483">
        <f t="shared" si="28"/>
        <v>-3.2687531048186787E-2</v>
      </c>
    </row>
    <row r="49" spans="1:15" ht="18.95" customHeight="1">
      <c r="A49" s="731"/>
      <c r="B49" s="732"/>
      <c r="C49" s="732"/>
      <c r="D49" s="732"/>
      <c r="E49" s="732"/>
      <c r="F49" s="732"/>
      <c r="G49" s="733"/>
      <c r="H49" s="133"/>
      <c r="I49" s="744"/>
      <c r="J49" s="692" t="s">
        <v>125</v>
      </c>
      <c r="K49" s="693"/>
      <c r="L49" s="475">
        <f>SUM(L50:L58)</f>
        <v>33071</v>
      </c>
      <c r="M49" s="475">
        <f>SUM(M50:M58)</f>
        <v>40644</v>
      </c>
      <c r="N49" s="476">
        <f t="shared" ref="N49:N50" si="29">M49-L49</f>
        <v>7573</v>
      </c>
      <c r="O49" s="478">
        <f t="shared" ref="O49:O50" si="30">N49/L49</f>
        <v>0.22899216836503281</v>
      </c>
    </row>
    <row r="50" spans="1:15" ht="18.95" customHeight="1">
      <c r="A50" s="731"/>
      <c r="B50" s="732"/>
      <c r="C50" s="732"/>
      <c r="D50" s="732"/>
      <c r="E50" s="732"/>
      <c r="F50" s="732"/>
      <c r="G50" s="733"/>
      <c r="H50" s="133"/>
      <c r="I50" s="744"/>
      <c r="J50" s="727" t="s">
        <v>331</v>
      </c>
      <c r="K50" s="545" t="s">
        <v>335</v>
      </c>
      <c r="L50" s="480">
        <f>'2021년 세출예산서'!D175</f>
        <v>2400</v>
      </c>
      <c r="M50" s="480">
        <f>'2021년 세출예산서'!E175</f>
        <v>1200</v>
      </c>
      <c r="N50" s="481">
        <f t="shared" si="29"/>
        <v>-1200</v>
      </c>
      <c r="O50" s="483">
        <f t="shared" si="30"/>
        <v>-0.5</v>
      </c>
    </row>
    <row r="51" spans="1:15" ht="18.95" customHeight="1">
      <c r="A51" s="731"/>
      <c r="B51" s="732"/>
      <c r="C51" s="732"/>
      <c r="D51" s="732"/>
      <c r="E51" s="732"/>
      <c r="F51" s="732"/>
      <c r="G51" s="733"/>
      <c r="H51" s="133"/>
      <c r="I51" s="744"/>
      <c r="J51" s="729"/>
      <c r="K51" s="545" t="s">
        <v>336</v>
      </c>
      <c r="L51" s="480">
        <f>'2021년 세출예산서'!D177</f>
        <v>300</v>
      </c>
      <c r="M51" s="480">
        <f>'2021년 세출예산서'!E177</f>
        <v>500</v>
      </c>
      <c r="N51" s="481">
        <f t="shared" ref="N51:N58" si="31">M51-L51</f>
        <v>200</v>
      </c>
      <c r="O51" s="483">
        <f t="shared" ref="O51:O57" si="32">N51/L51</f>
        <v>0.66666666666666663</v>
      </c>
    </row>
    <row r="52" spans="1:15" ht="18.95" customHeight="1">
      <c r="A52" s="731"/>
      <c r="B52" s="732"/>
      <c r="C52" s="732"/>
      <c r="D52" s="732"/>
      <c r="E52" s="732"/>
      <c r="F52" s="732"/>
      <c r="G52" s="733"/>
      <c r="H52" s="133"/>
      <c r="I52" s="744"/>
      <c r="J52" s="729"/>
      <c r="K52" s="545" t="s">
        <v>444</v>
      </c>
      <c r="L52" s="480">
        <v>0</v>
      </c>
      <c r="M52" s="480">
        <f>'2021년 세출예산서'!E179</f>
        <v>1000</v>
      </c>
      <c r="N52" s="481"/>
      <c r="O52" s="483"/>
    </row>
    <row r="53" spans="1:15" ht="18.95" customHeight="1">
      <c r="A53" s="731"/>
      <c r="B53" s="732"/>
      <c r="C53" s="732"/>
      <c r="D53" s="732"/>
      <c r="E53" s="732"/>
      <c r="F53" s="732"/>
      <c r="G53" s="733"/>
      <c r="H53" s="133"/>
      <c r="I53" s="744"/>
      <c r="J53" s="729"/>
      <c r="K53" s="545" t="s">
        <v>337</v>
      </c>
      <c r="L53" s="480">
        <f>'2021년 세출예산서'!D181</f>
        <v>25020</v>
      </c>
      <c r="M53" s="480">
        <f>'2021년 세출예산서'!E181</f>
        <v>29044</v>
      </c>
      <c r="N53" s="481">
        <f t="shared" si="31"/>
        <v>4024</v>
      </c>
      <c r="O53" s="483">
        <f t="shared" si="32"/>
        <v>0.16083133493205434</v>
      </c>
    </row>
    <row r="54" spans="1:15" ht="18.75" customHeight="1">
      <c r="A54" s="731"/>
      <c r="B54" s="732"/>
      <c r="C54" s="732"/>
      <c r="D54" s="732"/>
      <c r="E54" s="732"/>
      <c r="F54" s="732"/>
      <c r="G54" s="733"/>
      <c r="H54" s="133"/>
      <c r="I54" s="744"/>
      <c r="J54" s="729"/>
      <c r="K54" s="545" t="s">
        <v>338</v>
      </c>
      <c r="L54" s="480">
        <f>'2021년 세출예산서'!D186</f>
        <v>675</v>
      </c>
      <c r="M54" s="480">
        <f>'2021년 세출예산서'!E186</f>
        <v>3000</v>
      </c>
      <c r="N54" s="481">
        <f t="shared" si="31"/>
        <v>2325</v>
      </c>
      <c r="O54" s="483">
        <f>N54/M54</f>
        <v>0.77500000000000002</v>
      </c>
    </row>
    <row r="55" spans="1:15" ht="18.95" customHeight="1">
      <c r="A55" s="731"/>
      <c r="B55" s="732"/>
      <c r="C55" s="732"/>
      <c r="D55" s="732"/>
      <c r="E55" s="732"/>
      <c r="F55" s="732"/>
      <c r="G55" s="733"/>
      <c r="H55" s="133"/>
      <c r="I55" s="744"/>
      <c r="J55" s="729"/>
      <c r="K55" s="545" t="s">
        <v>445</v>
      </c>
      <c r="L55" s="480">
        <v>0</v>
      </c>
      <c r="M55" s="480">
        <f>'2021년 세출예산서'!E188</f>
        <v>300</v>
      </c>
      <c r="N55" s="481"/>
      <c r="O55" s="483"/>
    </row>
    <row r="56" spans="1:15" ht="15.75" customHeight="1">
      <c r="A56" s="731"/>
      <c r="B56" s="732"/>
      <c r="C56" s="732"/>
      <c r="D56" s="732"/>
      <c r="E56" s="732"/>
      <c r="F56" s="732"/>
      <c r="G56" s="733"/>
      <c r="H56" s="133"/>
      <c r="I56" s="744"/>
      <c r="J56" s="729"/>
      <c r="K56" s="545" t="s">
        <v>339</v>
      </c>
      <c r="L56" s="480">
        <f>'2021년 세출예산서'!D190</f>
        <v>776</v>
      </c>
      <c r="M56" s="480">
        <f>'2021년 세출예산서'!E190</f>
        <v>4800</v>
      </c>
      <c r="N56" s="481">
        <f t="shared" si="31"/>
        <v>4024</v>
      </c>
      <c r="O56" s="483">
        <f>N56/L56</f>
        <v>5.1855670103092786</v>
      </c>
    </row>
    <row r="57" spans="1:15" ht="18.95" customHeight="1">
      <c r="A57" s="731"/>
      <c r="B57" s="732"/>
      <c r="C57" s="732"/>
      <c r="D57" s="732"/>
      <c r="E57" s="732"/>
      <c r="F57" s="732"/>
      <c r="G57" s="733"/>
      <c r="H57" s="133"/>
      <c r="I57" s="744"/>
      <c r="J57" s="729"/>
      <c r="K57" s="545" t="s">
        <v>340</v>
      </c>
      <c r="L57" s="480">
        <f>'2021년 세출예산서'!D192</f>
        <v>800</v>
      </c>
      <c r="M57" s="480">
        <f>'2021년 세출예산서'!E192</f>
        <v>800</v>
      </c>
      <c r="N57" s="481">
        <f t="shared" si="31"/>
        <v>0</v>
      </c>
      <c r="O57" s="483">
        <f t="shared" si="32"/>
        <v>0</v>
      </c>
    </row>
    <row r="58" spans="1:15" ht="18.95" customHeight="1">
      <c r="A58" s="731"/>
      <c r="B58" s="732"/>
      <c r="C58" s="732"/>
      <c r="D58" s="732"/>
      <c r="E58" s="732"/>
      <c r="F58" s="732"/>
      <c r="G58" s="733"/>
      <c r="H58" s="133"/>
      <c r="I58" s="744"/>
      <c r="J58" s="728"/>
      <c r="K58" s="561" t="s">
        <v>341</v>
      </c>
      <c r="L58" s="480">
        <f>'2021년 세출예산서'!D194</f>
        <v>3100</v>
      </c>
      <c r="M58" s="480">
        <f>'2021년 세출예산서'!E194</f>
        <v>0</v>
      </c>
      <c r="N58" s="481">
        <f t="shared" si="31"/>
        <v>-3100</v>
      </c>
      <c r="O58" s="483">
        <f>N58/L58</f>
        <v>-1</v>
      </c>
    </row>
    <row r="59" spans="1:15" ht="18.95" customHeight="1">
      <c r="A59" s="731"/>
      <c r="B59" s="732"/>
      <c r="C59" s="732"/>
      <c r="D59" s="732"/>
      <c r="E59" s="732"/>
      <c r="F59" s="732"/>
      <c r="G59" s="733"/>
      <c r="H59" s="133"/>
      <c r="I59" s="744"/>
      <c r="J59" s="692" t="s">
        <v>125</v>
      </c>
      <c r="K59" s="693"/>
      <c r="L59" s="475">
        <f>SUM(L60:L61)</f>
        <v>1715641</v>
      </c>
      <c r="M59" s="475">
        <f>SUM(M60:M61)</f>
        <v>1952321</v>
      </c>
      <c r="N59" s="476">
        <f t="shared" ref="N59:N60" si="33">M59-L59</f>
        <v>236680</v>
      </c>
      <c r="O59" s="478">
        <f t="shared" ref="O59:O61" si="34">N59/L59</f>
        <v>0.13795426898750962</v>
      </c>
    </row>
    <row r="60" spans="1:15" ht="18" customHeight="1">
      <c r="A60" s="731"/>
      <c r="B60" s="732"/>
      <c r="C60" s="732"/>
      <c r="D60" s="732"/>
      <c r="E60" s="732"/>
      <c r="F60" s="732"/>
      <c r="G60" s="733"/>
      <c r="H60" s="133"/>
      <c r="I60" s="744"/>
      <c r="J60" s="727" t="s">
        <v>332</v>
      </c>
      <c r="K60" s="545" t="s">
        <v>295</v>
      </c>
      <c r="L60" s="480">
        <f>'2021년 세출예산서'!D197</f>
        <v>1500467</v>
      </c>
      <c r="M60" s="480">
        <f>'2021년 세출예산서'!E197</f>
        <v>1661840</v>
      </c>
      <c r="N60" s="481">
        <f t="shared" si="33"/>
        <v>161373</v>
      </c>
      <c r="O60" s="483">
        <f t="shared" si="34"/>
        <v>0.10754851656184375</v>
      </c>
    </row>
    <row r="61" spans="1:15">
      <c r="A61" s="741"/>
      <c r="B61" s="742"/>
      <c r="C61" s="742"/>
      <c r="D61" s="742"/>
      <c r="E61" s="742"/>
      <c r="F61" s="742"/>
      <c r="G61" s="743"/>
      <c r="H61" s="617"/>
      <c r="I61" s="745"/>
      <c r="J61" s="730"/>
      <c r="K61" s="618" t="s">
        <v>333</v>
      </c>
      <c r="L61" s="619">
        <f>'2021년 세출예산서'!D200</f>
        <v>215174</v>
      </c>
      <c r="M61" s="619">
        <f>'2021년 세출예산서'!E200</f>
        <v>290481</v>
      </c>
      <c r="N61" s="620">
        <f>M61-L61</f>
        <v>75307</v>
      </c>
      <c r="O61" s="621">
        <f t="shared" si="34"/>
        <v>0.34998187513361279</v>
      </c>
    </row>
    <row r="62" spans="1:15">
      <c r="A62" s="731"/>
      <c r="B62" s="732"/>
      <c r="C62" s="732"/>
      <c r="D62" s="732"/>
      <c r="E62" s="732"/>
      <c r="F62" s="732"/>
      <c r="G62" s="733"/>
      <c r="H62" s="133"/>
      <c r="I62" s="744" t="s">
        <v>342</v>
      </c>
      <c r="J62" s="739" t="s">
        <v>125</v>
      </c>
      <c r="K62" s="740"/>
      <c r="L62" s="614">
        <f>SUM(L63:L63)</f>
        <v>39720</v>
      </c>
      <c r="M62" s="614">
        <f>SUM(M63:M63)</f>
        <v>49800</v>
      </c>
      <c r="N62" s="615">
        <f t="shared" ref="N62" si="35">M62-L62</f>
        <v>10080</v>
      </c>
      <c r="O62" s="616">
        <f t="shared" ref="O62:O63" si="36">N62/L62</f>
        <v>0.25377643504531722</v>
      </c>
    </row>
    <row r="63" spans="1:15" ht="19.5" customHeight="1">
      <c r="A63" s="731"/>
      <c r="B63" s="732"/>
      <c r="C63" s="732"/>
      <c r="D63" s="732"/>
      <c r="E63" s="732"/>
      <c r="F63" s="732"/>
      <c r="G63" s="733"/>
      <c r="H63" s="134"/>
      <c r="I63" s="744"/>
      <c r="J63" s="546" t="s">
        <v>334</v>
      </c>
      <c r="K63" s="555" t="s">
        <v>334</v>
      </c>
      <c r="L63" s="480">
        <f>'2021년 세출예산서'!D212</f>
        <v>39720</v>
      </c>
      <c r="M63" s="480">
        <f>'2021년 세출예산서'!E212</f>
        <v>49800</v>
      </c>
      <c r="N63" s="481">
        <f>M63-L63</f>
        <v>10080</v>
      </c>
      <c r="O63" s="483">
        <f t="shared" si="36"/>
        <v>0.25377643504531722</v>
      </c>
    </row>
    <row r="64" spans="1:15" ht="19.5" customHeight="1">
      <c r="A64" s="731"/>
      <c r="B64" s="732"/>
      <c r="C64" s="732"/>
      <c r="D64" s="732"/>
      <c r="E64" s="732"/>
      <c r="F64" s="732"/>
      <c r="G64" s="733"/>
      <c r="H64" s="134"/>
      <c r="I64" s="744"/>
      <c r="J64" s="692" t="s">
        <v>125</v>
      </c>
      <c r="K64" s="693"/>
      <c r="L64" s="475">
        <f>SUM(L65:L70)</f>
        <v>0</v>
      </c>
      <c r="M64" s="475">
        <f>SUM(M65:M70)</f>
        <v>46400</v>
      </c>
      <c r="N64" s="476">
        <f t="shared" si="0"/>
        <v>46400</v>
      </c>
      <c r="O64" s="478">
        <f t="shared" ref="O64:O70" si="37">N64/M64</f>
        <v>1</v>
      </c>
    </row>
    <row r="65" spans="1:15">
      <c r="A65" s="731"/>
      <c r="B65" s="732"/>
      <c r="C65" s="732"/>
      <c r="D65" s="732"/>
      <c r="E65" s="732"/>
      <c r="F65" s="732"/>
      <c r="G65" s="733"/>
      <c r="H65" s="134"/>
      <c r="I65" s="744"/>
      <c r="J65" s="727" t="s">
        <v>434</v>
      </c>
      <c r="K65" s="545" t="s">
        <v>399</v>
      </c>
      <c r="L65" s="480">
        <f>'2021년 세출예산서'!D214</f>
        <v>0</v>
      </c>
      <c r="M65" s="480">
        <f>'2021년 세출예산서'!E215</f>
        <v>4400</v>
      </c>
      <c r="N65" s="481">
        <f t="shared" ref="N65" si="38">M65-L65</f>
        <v>4400</v>
      </c>
      <c r="O65" s="483">
        <f t="shared" si="37"/>
        <v>1</v>
      </c>
    </row>
    <row r="66" spans="1:15">
      <c r="A66" s="731"/>
      <c r="B66" s="732"/>
      <c r="C66" s="732"/>
      <c r="D66" s="732"/>
      <c r="E66" s="732"/>
      <c r="F66" s="732"/>
      <c r="G66" s="733"/>
      <c r="H66" s="134"/>
      <c r="I66" s="744"/>
      <c r="J66" s="729"/>
      <c r="K66" s="545" t="s">
        <v>435</v>
      </c>
      <c r="L66" s="480">
        <v>0</v>
      </c>
      <c r="M66" s="480">
        <f>'2021년 세출예산서'!E219</f>
        <v>18000</v>
      </c>
      <c r="N66" s="481">
        <f t="shared" si="0"/>
        <v>18000</v>
      </c>
      <c r="O66" s="483">
        <f t="shared" si="37"/>
        <v>1</v>
      </c>
    </row>
    <row r="67" spans="1:15">
      <c r="A67" s="731"/>
      <c r="B67" s="732"/>
      <c r="C67" s="732"/>
      <c r="D67" s="732"/>
      <c r="E67" s="732"/>
      <c r="F67" s="732"/>
      <c r="G67" s="733"/>
      <c r="H67" s="134"/>
      <c r="I67" s="744"/>
      <c r="J67" s="729"/>
      <c r="K67" s="545" t="s">
        <v>436</v>
      </c>
      <c r="L67" s="480">
        <v>0</v>
      </c>
      <c r="M67" s="480">
        <f>'2021년 세출예산서'!E223</f>
        <v>6000</v>
      </c>
      <c r="N67" s="481">
        <f t="shared" si="0"/>
        <v>6000</v>
      </c>
      <c r="O67" s="483">
        <f t="shared" si="37"/>
        <v>1</v>
      </c>
    </row>
    <row r="68" spans="1:15" ht="13.5" customHeight="1">
      <c r="A68" s="731"/>
      <c r="B68" s="732"/>
      <c r="C68" s="732"/>
      <c r="D68" s="732"/>
      <c r="E68" s="732"/>
      <c r="F68" s="732"/>
      <c r="G68" s="733"/>
      <c r="H68" s="134"/>
      <c r="I68" s="744"/>
      <c r="J68" s="729"/>
      <c r="K68" s="545" t="s">
        <v>437</v>
      </c>
      <c r="L68" s="480">
        <v>0</v>
      </c>
      <c r="M68" s="480">
        <f>'2021년 세출예산서'!E230</f>
        <v>6000</v>
      </c>
      <c r="N68" s="481">
        <f t="shared" si="0"/>
        <v>6000</v>
      </c>
      <c r="O68" s="483">
        <f t="shared" si="37"/>
        <v>1</v>
      </c>
    </row>
    <row r="69" spans="1:15">
      <c r="A69" s="731"/>
      <c r="B69" s="732"/>
      <c r="C69" s="732"/>
      <c r="D69" s="732"/>
      <c r="E69" s="732"/>
      <c r="F69" s="732"/>
      <c r="G69" s="733"/>
      <c r="H69" s="134"/>
      <c r="I69" s="744"/>
      <c r="J69" s="729"/>
      <c r="K69" s="545" t="s">
        <v>438</v>
      </c>
      <c r="L69" s="480">
        <v>0</v>
      </c>
      <c r="M69" s="480">
        <f>'2021년 세출예산서'!E236</f>
        <v>6000</v>
      </c>
      <c r="N69" s="481">
        <f t="shared" si="0"/>
        <v>6000</v>
      </c>
      <c r="O69" s="483">
        <f t="shared" si="37"/>
        <v>1</v>
      </c>
    </row>
    <row r="70" spans="1:15">
      <c r="A70" s="731"/>
      <c r="B70" s="732"/>
      <c r="C70" s="732"/>
      <c r="D70" s="732"/>
      <c r="E70" s="732"/>
      <c r="F70" s="732"/>
      <c r="G70" s="733"/>
      <c r="H70" s="134"/>
      <c r="I70" s="746"/>
      <c r="J70" s="728"/>
      <c r="K70" s="545" t="s">
        <v>439</v>
      </c>
      <c r="L70" s="480">
        <v>0</v>
      </c>
      <c r="M70" s="480">
        <f>'2021년 세출예산서'!E240</f>
        <v>6000</v>
      </c>
      <c r="N70" s="481">
        <f t="shared" si="0"/>
        <v>6000</v>
      </c>
      <c r="O70" s="483">
        <f t="shared" si="37"/>
        <v>1</v>
      </c>
    </row>
    <row r="71" spans="1:15">
      <c r="A71" s="731"/>
      <c r="B71" s="732"/>
      <c r="C71" s="732"/>
      <c r="D71" s="732"/>
      <c r="E71" s="732"/>
      <c r="F71" s="732"/>
      <c r="G71" s="733"/>
      <c r="I71" s="608" t="s">
        <v>124</v>
      </c>
      <c r="J71" s="609"/>
      <c r="K71" s="610"/>
      <c r="L71" s="515">
        <f>L72</f>
        <v>132</v>
      </c>
      <c r="M71" s="516">
        <f>M72</f>
        <v>0</v>
      </c>
      <c r="N71" s="517">
        <f>M71-L71</f>
        <v>-132</v>
      </c>
      <c r="O71" s="518">
        <f>N71/L71</f>
        <v>-1</v>
      </c>
    </row>
    <row r="72" spans="1:15">
      <c r="A72" s="731"/>
      <c r="B72" s="732"/>
      <c r="C72" s="732"/>
      <c r="D72" s="732"/>
      <c r="E72" s="732"/>
      <c r="F72" s="732"/>
      <c r="G72" s="733"/>
      <c r="I72" s="593"/>
      <c r="J72" s="692" t="s">
        <v>125</v>
      </c>
      <c r="K72" s="693"/>
      <c r="L72" s="485">
        <f>SUM(L73:L74)</f>
        <v>132</v>
      </c>
      <c r="M72" s="486">
        <f>SUM(M73:M74)</f>
        <v>0</v>
      </c>
      <c r="N72" s="476">
        <f t="shared" si="0"/>
        <v>-132</v>
      </c>
      <c r="O72" s="478">
        <f t="shared" ref="O72" si="39">N72/L72</f>
        <v>-1</v>
      </c>
    </row>
    <row r="73" spans="1:15">
      <c r="A73" s="731"/>
      <c r="B73" s="732"/>
      <c r="C73" s="732"/>
      <c r="D73" s="732"/>
      <c r="E73" s="732"/>
      <c r="F73" s="732"/>
      <c r="G73" s="733"/>
      <c r="I73" s="590"/>
      <c r="J73" s="737" t="s">
        <v>143</v>
      </c>
      <c r="K73" s="534" t="s">
        <v>130</v>
      </c>
      <c r="L73" s="487">
        <f>'2021년 세출예산서'!D245</f>
        <v>0</v>
      </c>
      <c r="M73" s="488">
        <f>'2021년 세출예산서'!E245</f>
        <v>0</v>
      </c>
      <c r="N73" s="481">
        <f t="shared" si="0"/>
        <v>0</v>
      </c>
      <c r="O73" s="489">
        <v>1</v>
      </c>
    </row>
    <row r="74" spans="1:15" ht="14.25" thickBot="1">
      <c r="A74" s="734"/>
      <c r="B74" s="735"/>
      <c r="C74" s="735"/>
      <c r="D74" s="735"/>
      <c r="E74" s="735"/>
      <c r="F74" s="735"/>
      <c r="G74" s="736"/>
      <c r="H74" s="549"/>
      <c r="I74" s="594"/>
      <c r="J74" s="738"/>
      <c r="K74" s="550" t="s">
        <v>131</v>
      </c>
      <c r="L74" s="551">
        <f>'2021년 세출예산서'!D247</f>
        <v>132</v>
      </c>
      <c r="M74" s="552">
        <f>'2021년 세출예산서'!E247</f>
        <v>0</v>
      </c>
      <c r="N74" s="553">
        <f t="shared" si="0"/>
        <v>-132</v>
      </c>
      <c r="O74" s="554">
        <f t="shared" ref="O74" si="40">N74/L74</f>
        <v>-1</v>
      </c>
    </row>
  </sheetData>
  <customSheetViews>
    <customSheetView guid="{39574142-277E-4296-AA2F-EE5B7F5EB8C6}">
      <selection activeCell="G33" sqref="G33:G34"/>
      <pageMargins left="0.7" right="0.7" top="0.75" bottom="0.75" header="0.3" footer="0.3"/>
    </customSheetView>
    <customSheetView guid="{AECBB1FD-440B-44B5-88B4-35517DBA2BD4}">
      <selection activeCell="G33" sqref="G33:G34"/>
      <pageMargins left="0.7" right="0.7" top="0.75" bottom="0.75" header="0.3" footer="0.3"/>
    </customSheetView>
  </customSheetViews>
  <mergeCells count="53">
    <mergeCell ref="J30:J33"/>
    <mergeCell ref="J65:J70"/>
    <mergeCell ref="J59:K59"/>
    <mergeCell ref="J44:K44"/>
    <mergeCell ref="J41:K41"/>
    <mergeCell ref="J72:K72"/>
    <mergeCell ref="J42:J43"/>
    <mergeCell ref="J45:J48"/>
    <mergeCell ref="J60:J61"/>
    <mergeCell ref="A62:G74"/>
    <mergeCell ref="J73:J74"/>
    <mergeCell ref="J64:K64"/>
    <mergeCell ref="J49:K49"/>
    <mergeCell ref="J62:K62"/>
    <mergeCell ref="J50:J58"/>
    <mergeCell ref="A34:G61"/>
    <mergeCell ref="I34:I61"/>
    <mergeCell ref="I62:I70"/>
    <mergeCell ref="J34:J36"/>
    <mergeCell ref="A20:A21"/>
    <mergeCell ref="A17:A18"/>
    <mergeCell ref="A8:A9"/>
    <mergeCell ref="A10:C10"/>
    <mergeCell ref="A13:C13"/>
    <mergeCell ref="A16:C16"/>
    <mergeCell ref="A1:O1"/>
    <mergeCell ref="A2:O2"/>
    <mergeCell ref="A3:G3"/>
    <mergeCell ref="I3:O3"/>
    <mergeCell ref="D4:D5"/>
    <mergeCell ref="E4:E5"/>
    <mergeCell ref="F4:G4"/>
    <mergeCell ref="L4:L5"/>
    <mergeCell ref="M4:M5"/>
    <mergeCell ref="N4:O4"/>
    <mergeCell ref="A4:C4"/>
    <mergeCell ref="I4:K4"/>
    <mergeCell ref="A6:C6"/>
    <mergeCell ref="A7:C7"/>
    <mergeCell ref="I6:K6"/>
    <mergeCell ref="J37:K37"/>
    <mergeCell ref="J39:K39"/>
    <mergeCell ref="I7:K7"/>
    <mergeCell ref="A22:G33"/>
    <mergeCell ref="A19:C19"/>
    <mergeCell ref="A11:A12"/>
    <mergeCell ref="A14:A15"/>
    <mergeCell ref="I28:K28"/>
    <mergeCell ref="I24:K24"/>
    <mergeCell ref="J26:J27"/>
    <mergeCell ref="I25:I27"/>
    <mergeCell ref="J29:K29"/>
    <mergeCell ref="I29:I33"/>
  </mergeCells>
  <phoneticPr fontId="2" type="noConversion"/>
  <pageMargins left="0.74803149606299213" right="0.74803149606299213" top="0.74803149606299213" bottom="0.74803149606299213" header="0.31496062992125984" footer="0.31496062992125984"/>
  <pageSetup paperSize="9" scale="72" firstPageNumber="2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5"/>
  <sheetViews>
    <sheetView view="pageBreakPreview" zoomScaleNormal="100" zoomScaleSheetLayoutView="100" workbookViewId="0">
      <pane ySplit="4" topLeftCell="A5" activePane="bottomLeft" state="frozen"/>
      <selection activeCell="J34" sqref="J34:J36"/>
      <selection pane="bottomLeft" activeCell="J34" sqref="J34:J36"/>
    </sheetView>
  </sheetViews>
  <sheetFormatPr defaultColWidth="9.77734375" defaultRowHeight="16.5"/>
  <cols>
    <col min="1" max="1" width="3.88671875" style="211" customWidth="1"/>
    <col min="2" max="2" width="6.21875" style="211" customWidth="1"/>
    <col min="3" max="3" width="6.21875" style="212" customWidth="1"/>
    <col min="4" max="4" width="10.77734375" style="213" customWidth="1"/>
    <col min="5" max="5" width="10.77734375" style="214" customWidth="1"/>
    <col min="6" max="6" width="11.109375" style="215" customWidth="1"/>
    <col min="7" max="7" width="8.44140625" style="434" bestFit="1" customWidth="1"/>
    <col min="8" max="8" width="19.6640625" style="216" customWidth="1"/>
    <col min="9" max="9" width="13.44140625" style="217" bestFit="1" customWidth="1"/>
    <col min="10" max="10" width="1.88671875" style="217" customWidth="1"/>
    <col min="11" max="11" width="5.88671875" style="217" bestFit="1" customWidth="1"/>
    <col min="12" max="12" width="1.88671875" style="217" customWidth="1"/>
    <col min="13" max="13" width="3.6640625" style="217" customWidth="1"/>
    <col min="14" max="14" width="1.88671875" style="217" customWidth="1"/>
    <col min="15" max="15" width="16.109375" style="217" bestFit="1" customWidth="1"/>
    <col min="16" max="16" width="17" style="123" bestFit="1" customWidth="1"/>
    <col min="17" max="17" width="9.77734375" style="123"/>
    <col min="18" max="18" width="12.109375" style="123" bestFit="1" customWidth="1"/>
    <col min="19" max="16384" width="9.77734375" style="123"/>
  </cols>
  <sheetData>
    <row r="1" spans="1:16" s="141" customFormat="1" ht="31.9" customHeight="1">
      <c r="A1" s="767" t="s">
        <v>448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</row>
    <row r="2" spans="1:16" s="142" customFormat="1" ht="20.100000000000001" customHeight="1" thickBot="1">
      <c r="A2" s="714" t="s">
        <v>100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4"/>
    </row>
    <row r="3" spans="1:16" ht="18" customHeight="1">
      <c r="A3" s="771" t="s">
        <v>72</v>
      </c>
      <c r="B3" s="772"/>
      <c r="C3" s="773"/>
      <c r="D3" s="789" t="s">
        <v>101</v>
      </c>
      <c r="E3" s="790"/>
      <c r="F3" s="788" t="s">
        <v>70</v>
      </c>
      <c r="G3" s="773"/>
      <c r="H3" s="776" t="s">
        <v>102</v>
      </c>
      <c r="I3" s="777"/>
      <c r="J3" s="777"/>
      <c r="K3" s="777"/>
      <c r="L3" s="777"/>
      <c r="M3" s="777"/>
      <c r="N3" s="777"/>
      <c r="O3" s="778"/>
    </row>
    <row r="4" spans="1:16" ht="33" customHeight="1">
      <c r="A4" s="143" t="s">
        <v>73</v>
      </c>
      <c r="B4" s="144" t="s">
        <v>103</v>
      </c>
      <c r="C4" s="145" t="s">
        <v>74</v>
      </c>
      <c r="D4" s="146" t="s">
        <v>353</v>
      </c>
      <c r="E4" s="146" t="s">
        <v>354</v>
      </c>
      <c r="F4" s="147" t="s">
        <v>104</v>
      </c>
      <c r="G4" s="426" t="s">
        <v>105</v>
      </c>
      <c r="H4" s="779"/>
      <c r="I4" s="780"/>
      <c r="J4" s="780"/>
      <c r="K4" s="780"/>
      <c r="L4" s="780"/>
      <c r="M4" s="780"/>
      <c r="N4" s="780"/>
      <c r="O4" s="781"/>
    </row>
    <row r="5" spans="1:16" ht="15.95" customHeight="1">
      <c r="A5" s="768" t="s">
        <v>75</v>
      </c>
      <c r="B5" s="769"/>
      <c r="C5" s="770"/>
      <c r="D5" s="148">
        <f>SUM(D6,D12,D19,D23,D29)</f>
        <v>3231535.5090000001</v>
      </c>
      <c r="E5" s="148">
        <f>SUM(E6,E12,E19,E23,E29)</f>
        <v>3531329</v>
      </c>
      <c r="F5" s="149">
        <f>E5-D5</f>
        <v>299793.49099999992</v>
      </c>
      <c r="G5" s="150">
        <f>F5/D5</f>
        <v>9.2771219800945687E-2</v>
      </c>
      <c r="H5" s="782"/>
      <c r="I5" s="783"/>
      <c r="J5" s="783"/>
      <c r="K5" s="783"/>
      <c r="L5" s="783"/>
      <c r="M5" s="783"/>
      <c r="N5" s="783"/>
      <c r="O5" s="784"/>
      <c r="P5" s="151"/>
    </row>
    <row r="6" spans="1:16" ht="15.95" customHeight="1">
      <c r="A6" s="753" t="s">
        <v>168</v>
      </c>
      <c r="B6" s="754"/>
      <c r="C6" s="755"/>
      <c r="D6" s="152">
        <f>SUM(D7)</f>
        <v>1218455</v>
      </c>
      <c r="E6" s="152">
        <f>E7</f>
        <v>1484040</v>
      </c>
      <c r="F6" s="153">
        <f>F7</f>
        <v>265585</v>
      </c>
      <c r="G6" s="427">
        <f>F6/D6</f>
        <v>0.21796865702877824</v>
      </c>
      <c r="H6" s="785"/>
      <c r="I6" s="786"/>
      <c r="J6" s="786"/>
      <c r="K6" s="786"/>
      <c r="L6" s="786"/>
      <c r="M6" s="786"/>
      <c r="N6" s="786"/>
      <c r="O6" s="787"/>
      <c r="P6" s="154"/>
    </row>
    <row r="7" spans="1:16" ht="15.95" customHeight="1">
      <c r="A7" s="155"/>
      <c r="B7" s="762" t="s">
        <v>168</v>
      </c>
      <c r="C7" s="763"/>
      <c r="D7" s="158">
        <f>SUM(D8)</f>
        <v>1218455</v>
      </c>
      <c r="E7" s="158">
        <f>E8</f>
        <v>1484040</v>
      </c>
      <c r="F7" s="159">
        <f>F8</f>
        <v>265585</v>
      </c>
      <c r="G7" s="428">
        <f>F7/D7</f>
        <v>0.21796865702877824</v>
      </c>
      <c r="H7" s="160"/>
      <c r="I7" s="161"/>
      <c r="J7" s="161"/>
      <c r="K7" s="161"/>
      <c r="L7" s="161"/>
      <c r="M7" s="161"/>
      <c r="N7" s="161"/>
      <c r="O7" s="162"/>
      <c r="P7" s="163"/>
    </row>
    <row r="8" spans="1:16" ht="15.95" customHeight="1">
      <c r="A8" s="519"/>
      <c r="B8" s="165"/>
      <c r="C8" s="557" t="s">
        <v>173</v>
      </c>
      <c r="D8" s="167">
        <f>ROUND(1218455000/1000,0)</f>
        <v>1218455</v>
      </c>
      <c r="E8" s="167">
        <f>ROUND($O$8/1000,0)</f>
        <v>1484040</v>
      </c>
      <c r="F8" s="168">
        <f>E8-D8</f>
        <v>265585</v>
      </c>
      <c r="G8" s="429">
        <f>F8/D8</f>
        <v>0.21796865702877824</v>
      </c>
      <c r="H8" s="774" t="s">
        <v>177</v>
      </c>
      <c r="I8" s="775"/>
      <c r="J8" s="169"/>
      <c r="K8" s="170"/>
      <c r="L8" s="169"/>
      <c r="M8" s="171"/>
      <c r="N8" s="169"/>
      <c r="O8" s="172">
        <f>SUM(O9:O11)</f>
        <v>1484040000</v>
      </c>
      <c r="P8" s="173"/>
    </row>
    <row r="9" spans="1:16" ht="15.95" customHeight="1">
      <c r="A9" s="519"/>
      <c r="B9" s="174"/>
      <c r="C9" s="199"/>
      <c r="D9" s="176"/>
      <c r="E9" s="176"/>
      <c r="F9" s="177"/>
      <c r="G9" s="430"/>
      <c r="H9" s="178" t="s">
        <v>175</v>
      </c>
      <c r="I9" s="179">
        <v>1429240000</v>
      </c>
      <c r="J9" s="180" t="s">
        <v>66</v>
      </c>
      <c r="K9" s="181">
        <v>1</v>
      </c>
      <c r="L9" s="180"/>
      <c r="M9" s="182"/>
      <c r="N9" s="180" t="s">
        <v>106</v>
      </c>
      <c r="O9" s="183">
        <f>ROUND(I9*K9,-1)</f>
        <v>1429240000</v>
      </c>
      <c r="P9" s="173"/>
    </row>
    <row r="10" spans="1:16" ht="15.95" customHeight="1">
      <c r="A10" s="519"/>
      <c r="B10" s="174"/>
      <c r="C10" s="199"/>
      <c r="D10" s="176"/>
      <c r="E10" s="176"/>
      <c r="F10" s="177"/>
      <c r="G10" s="430"/>
      <c r="H10" s="178" t="s">
        <v>176</v>
      </c>
      <c r="I10" s="179">
        <v>49800000</v>
      </c>
      <c r="J10" s="180" t="s">
        <v>66</v>
      </c>
      <c r="K10" s="181">
        <v>1</v>
      </c>
      <c r="L10" s="180"/>
      <c r="M10" s="182"/>
      <c r="N10" s="180" t="s">
        <v>106</v>
      </c>
      <c r="O10" s="183">
        <f>I10*K10</f>
        <v>49800000</v>
      </c>
      <c r="P10" s="173"/>
    </row>
    <row r="11" spans="1:16" ht="15.95" customHeight="1">
      <c r="A11" s="519"/>
      <c r="B11" s="558"/>
      <c r="C11" s="199"/>
      <c r="D11" s="176"/>
      <c r="E11" s="176"/>
      <c r="F11" s="177"/>
      <c r="G11" s="430"/>
      <c r="H11" s="178" t="s">
        <v>174</v>
      </c>
      <c r="I11" s="179">
        <v>5000000</v>
      </c>
      <c r="J11" s="180" t="s">
        <v>66</v>
      </c>
      <c r="K11" s="181">
        <v>1</v>
      </c>
      <c r="L11" s="180"/>
      <c r="M11" s="182"/>
      <c r="N11" s="180" t="s">
        <v>106</v>
      </c>
      <c r="O11" s="183">
        <f>I11*K11</f>
        <v>5000000</v>
      </c>
      <c r="P11" s="173"/>
    </row>
    <row r="12" spans="1:16" ht="15.95" customHeight="1">
      <c r="A12" s="753" t="s">
        <v>172</v>
      </c>
      <c r="B12" s="754"/>
      <c r="C12" s="755"/>
      <c r="D12" s="152">
        <f>SUM(D13)</f>
        <v>1873184</v>
      </c>
      <c r="E12" s="152">
        <f>E13</f>
        <v>2047289</v>
      </c>
      <c r="F12" s="153">
        <f>F13</f>
        <v>174105</v>
      </c>
      <c r="G12" s="427">
        <f>F12/D12</f>
        <v>9.2946021319848984E-2</v>
      </c>
      <c r="H12" s="756"/>
      <c r="I12" s="757"/>
      <c r="J12" s="757"/>
      <c r="K12" s="757"/>
      <c r="L12" s="757"/>
      <c r="M12" s="757"/>
      <c r="N12" s="757"/>
      <c r="O12" s="758"/>
    </row>
    <row r="13" spans="1:16" ht="15.95" customHeight="1">
      <c r="A13" s="155"/>
      <c r="B13" s="184" t="s">
        <v>169</v>
      </c>
      <c r="C13" s="185"/>
      <c r="D13" s="158">
        <f>SUM(D14)</f>
        <v>1873184</v>
      </c>
      <c r="E13" s="158">
        <f>SUM(E14)</f>
        <v>2047289</v>
      </c>
      <c r="F13" s="159">
        <f>F14</f>
        <v>174105</v>
      </c>
      <c r="G13" s="428">
        <f>F13/D13</f>
        <v>9.2946021319848984E-2</v>
      </c>
      <c r="H13" s="186"/>
      <c r="I13" s="186"/>
      <c r="J13" s="186"/>
      <c r="K13" s="186"/>
      <c r="L13" s="186"/>
      <c r="M13" s="186"/>
      <c r="N13" s="186"/>
      <c r="O13" s="187"/>
    </row>
    <row r="14" spans="1:16" ht="15.95" customHeight="1">
      <c r="A14" s="164"/>
      <c r="B14" s="188"/>
      <c r="C14" s="166" t="s">
        <v>169</v>
      </c>
      <c r="D14" s="167">
        <f>ROUND(1873184360/1000,0)</f>
        <v>1873184</v>
      </c>
      <c r="E14" s="167">
        <f>ROUND($O$14/1000,0)</f>
        <v>2047289</v>
      </c>
      <c r="F14" s="168">
        <f>E14-D14</f>
        <v>174105</v>
      </c>
      <c r="G14" s="429">
        <f>F14/D14</f>
        <v>9.2946021319848984E-2</v>
      </c>
      <c r="H14" s="189" t="s">
        <v>178</v>
      </c>
      <c r="I14" s="190"/>
      <c r="J14" s="169"/>
      <c r="K14" s="191"/>
      <c r="L14" s="169"/>
      <c r="M14" s="171"/>
      <c r="N14" s="169"/>
      <c r="O14" s="172">
        <f>SUM(O15:O18)</f>
        <v>2047289000</v>
      </c>
    </row>
    <row r="15" spans="1:16" ht="15.95" customHeight="1">
      <c r="A15" s="519"/>
      <c r="B15" s="559"/>
      <c r="C15" s="199"/>
      <c r="D15" s="176"/>
      <c r="E15" s="176"/>
      <c r="F15" s="177"/>
      <c r="G15" s="430"/>
      <c r="H15" s="193" t="s">
        <v>179</v>
      </c>
      <c r="I15" s="179">
        <v>1058183000</v>
      </c>
      <c r="J15" s="180" t="s">
        <v>66</v>
      </c>
      <c r="K15" s="181">
        <v>1</v>
      </c>
      <c r="L15" s="180"/>
      <c r="M15" s="182"/>
      <c r="N15" s="180" t="s">
        <v>68</v>
      </c>
      <c r="O15" s="183">
        <f t="shared" ref="O15:O18" si="0">I15*K15</f>
        <v>1058183000</v>
      </c>
    </row>
    <row r="16" spans="1:16" ht="15.95" customHeight="1">
      <c r="A16" s="519"/>
      <c r="B16" s="559"/>
      <c r="C16" s="199"/>
      <c r="D16" s="176"/>
      <c r="E16" s="176"/>
      <c r="F16" s="177"/>
      <c r="G16" s="430"/>
      <c r="H16" s="193" t="s">
        <v>180</v>
      </c>
      <c r="I16" s="179">
        <v>260461400</v>
      </c>
      <c r="J16" s="180" t="s">
        <v>66</v>
      </c>
      <c r="K16" s="181">
        <v>1</v>
      </c>
      <c r="L16" s="180"/>
      <c r="M16" s="182"/>
      <c r="N16" s="180" t="s">
        <v>68</v>
      </c>
      <c r="O16" s="183">
        <f t="shared" si="0"/>
        <v>260461400</v>
      </c>
    </row>
    <row r="17" spans="1:16" ht="15.95" customHeight="1">
      <c r="A17" s="519"/>
      <c r="B17" s="559"/>
      <c r="C17" s="199"/>
      <c r="D17" s="176"/>
      <c r="E17" s="176"/>
      <c r="F17" s="177"/>
      <c r="G17" s="430"/>
      <c r="H17" s="193" t="s">
        <v>181</v>
      </c>
      <c r="I17" s="179">
        <v>714084600</v>
      </c>
      <c r="J17" s="180" t="s">
        <v>66</v>
      </c>
      <c r="K17" s="181">
        <v>1</v>
      </c>
      <c r="L17" s="180"/>
      <c r="M17" s="182"/>
      <c r="N17" s="180" t="s">
        <v>68</v>
      </c>
      <c r="O17" s="183">
        <f t="shared" si="0"/>
        <v>714084600</v>
      </c>
    </row>
    <row r="18" spans="1:16" ht="15.95" customHeight="1">
      <c r="A18" s="519"/>
      <c r="B18" s="560"/>
      <c r="C18" s="199"/>
      <c r="D18" s="176"/>
      <c r="E18" s="176"/>
      <c r="F18" s="177"/>
      <c r="G18" s="430"/>
      <c r="H18" s="193" t="s">
        <v>182</v>
      </c>
      <c r="I18" s="179">
        <v>14560000</v>
      </c>
      <c r="J18" s="180" t="s">
        <v>66</v>
      </c>
      <c r="K18" s="181">
        <v>1</v>
      </c>
      <c r="L18" s="180"/>
      <c r="M18" s="182"/>
      <c r="N18" s="180" t="s">
        <v>68</v>
      </c>
      <c r="O18" s="183">
        <f t="shared" si="0"/>
        <v>14560000</v>
      </c>
    </row>
    <row r="19" spans="1:16" ht="15.95" customHeight="1">
      <c r="A19" s="750" t="s">
        <v>170</v>
      </c>
      <c r="B19" s="751"/>
      <c r="C19" s="752"/>
      <c r="D19" s="152">
        <f>SUM(D20)</f>
        <v>15948</v>
      </c>
      <c r="E19" s="152">
        <f>E20</f>
        <v>0</v>
      </c>
      <c r="F19" s="153">
        <f>F20</f>
        <v>-15948</v>
      </c>
      <c r="G19" s="427">
        <f>F19/D19</f>
        <v>-1</v>
      </c>
      <c r="H19" s="756"/>
      <c r="I19" s="757"/>
      <c r="J19" s="757"/>
      <c r="K19" s="757"/>
      <c r="L19" s="757"/>
      <c r="M19" s="757"/>
      <c r="N19" s="757"/>
      <c r="O19" s="758"/>
    </row>
    <row r="20" spans="1:16" ht="15.95" customHeight="1">
      <c r="A20" s="155"/>
      <c r="B20" s="184" t="s">
        <v>84</v>
      </c>
      <c r="C20" s="185"/>
      <c r="D20" s="158">
        <f>SUM(D21)</f>
        <v>15948</v>
      </c>
      <c r="E20" s="158">
        <f>SUM(E21)</f>
        <v>0</v>
      </c>
      <c r="F20" s="159">
        <f>F21</f>
        <v>-15948</v>
      </c>
      <c r="G20" s="428">
        <f>F20/D20</f>
        <v>-1</v>
      </c>
      <c r="H20" s="186"/>
      <c r="I20" s="186"/>
      <c r="J20" s="186"/>
      <c r="K20" s="186"/>
      <c r="L20" s="186"/>
      <c r="M20" s="186"/>
      <c r="N20" s="186"/>
      <c r="O20" s="187"/>
    </row>
    <row r="21" spans="1:16" ht="15.95" customHeight="1">
      <c r="A21" s="164"/>
      <c r="B21" s="188"/>
      <c r="C21" s="166" t="s">
        <v>171</v>
      </c>
      <c r="D21" s="167">
        <f>15948000/1000</f>
        <v>15948</v>
      </c>
      <c r="E21" s="167">
        <f>$O$21/1000</f>
        <v>0</v>
      </c>
      <c r="F21" s="168">
        <f>E21-D21</f>
        <v>-15948</v>
      </c>
      <c r="G21" s="429">
        <f>F21/D21</f>
        <v>-1</v>
      </c>
      <c r="H21" s="189" t="s">
        <v>86</v>
      </c>
      <c r="I21" s="190"/>
      <c r="J21" s="169"/>
      <c r="K21" s="191"/>
      <c r="L21" s="169"/>
      <c r="M21" s="171"/>
      <c r="N21" s="169"/>
      <c r="O21" s="172">
        <f>SUM(O22)</f>
        <v>0</v>
      </c>
      <c r="P21" s="195"/>
    </row>
    <row r="22" spans="1:16" ht="15.95" customHeight="1">
      <c r="A22" s="164"/>
      <c r="B22" s="192"/>
      <c r="C22" s="175"/>
      <c r="D22" s="176"/>
      <c r="E22" s="176"/>
      <c r="F22" s="177"/>
      <c r="G22" s="430"/>
      <c r="H22" s="196" t="s">
        <v>183</v>
      </c>
      <c r="I22" s="179">
        <v>0</v>
      </c>
      <c r="J22" s="180" t="s">
        <v>66</v>
      </c>
      <c r="K22" s="181">
        <v>1</v>
      </c>
      <c r="L22" s="180"/>
      <c r="M22" s="182"/>
      <c r="N22" s="180" t="s">
        <v>1</v>
      </c>
      <c r="O22" s="183">
        <f>I22*K22</f>
        <v>0</v>
      </c>
      <c r="P22" s="195"/>
    </row>
    <row r="23" spans="1:16" ht="15.95" customHeight="1">
      <c r="A23" s="750" t="s">
        <v>109</v>
      </c>
      <c r="B23" s="751"/>
      <c r="C23" s="752"/>
      <c r="D23" s="152">
        <f>SUM(D25)</f>
        <v>123723</v>
      </c>
      <c r="E23" s="152">
        <f>E24</f>
        <v>0</v>
      </c>
      <c r="F23" s="153">
        <f>F24</f>
        <v>-123723</v>
      </c>
      <c r="G23" s="427">
        <f>F23/D23</f>
        <v>-1</v>
      </c>
      <c r="H23" s="756"/>
      <c r="I23" s="757"/>
      <c r="J23" s="757"/>
      <c r="K23" s="757"/>
      <c r="L23" s="757"/>
      <c r="M23" s="757"/>
      <c r="N23" s="757"/>
      <c r="O23" s="758"/>
      <c r="P23" s="195"/>
    </row>
    <row r="24" spans="1:16" ht="15.95" customHeight="1">
      <c r="A24" s="155"/>
      <c r="B24" s="184" t="s">
        <v>144</v>
      </c>
      <c r="C24" s="185"/>
      <c r="D24" s="158">
        <f>SUM(D25)</f>
        <v>123723</v>
      </c>
      <c r="E24" s="158">
        <f>E25</f>
        <v>0</v>
      </c>
      <c r="F24" s="159">
        <f>F25</f>
        <v>-123723</v>
      </c>
      <c r="G24" s="428">
        <f>F24/D24</f>
        <v>-1</v>
      </c>
      <c r="H24" s="759"/>
      <c r="I24" s="760"/>
      <c r="J24" s="760"/>
      <c r="K24" s="760"/>
      <c r="L24" s="760"/>
      <c r="M24" s="760"/>
      <c r="N24" s="760"/>
      <c r="O24" s="761"/>
    </row>
    <row r="25" spans="1:16" ht="15.95" customHeight="1">
      <c r="A25" s="164"/>
      <c r="B25" s="188"/>
      <c r="C25" s="166" t="s">
        <v>109</v>
      </c>
      <c r="D25" s="197">
        <f>ROUND((123722639/1000),0)</f>
        <v>123723</v>
      </c>
      <c r="E25" s="197">
        <f>ROUND(($O$25/1000),0)</f>
        <v>0</v>
      </c>
      <c r="F25" s="168">
        <f>E25-D25</f>
        <v>-123723</v>
      </c>
      <c r="G25" s="429">
        <f>F25/D25</f>
        <v>-1</v>
      </c>
      <c r="H25" s="189" t="s">
        <v>110</v>
      </c>
      <c r="I25" s="198"/>
      <c r="J25" s="169"/>
      <c r="K25" s="191"/>
      <c r="L25" s="169"/>
      <c r="M25" s="171"/>
      <c r="N25" s="169"/>
      <c r="O25" s="172">
        <f>SUM(O26:O28)</f>
        <v>0</v>
      </c>
    </row>
    <row r="26" spans="1:16" ht="15.95" customHeight="1">
      <c r="A26" s="164"/>
      <c r="B26" s="192"/>
      <c r="C26" s="199"/>
      <c r="D26" s="176"/>
      <c r="E26" s="176"/>
      <c r="F26" s="177"/>
      <c r="G26" s="430"/>
      <c r="H26" s="200" t="s">
        <v>145</v>
      </c>
      <c r="I26" s="194">
        <v>0</v>
      </c>
      <c r="J26" s="180" t="s">
        <v>66</v>
      </c>
      <c r="K26" s="181">
        <v>1</v>
      </c>
      <c r="L26" s="201"/>
      <c r="M26" s="201"/>
      <c r="N26" s="180" t="s">
        <v>1</v>
      </c>
      <c r="O26" s="202">
        <f t="shared" ref="O26:O28" si="1">I26*K26</f>
        <v>0</v>
      </c>
    </row>
    <row r="27" spans="1:16" ht="15.75" hidden="1" customHeight="1">
      <c r="A27" s="164"/>
      <c r="B27" s="192"/>
      <c r="C27" s="175"/>
      <c r="D27" s="176"/>
      <c r="E27" s="176"/>
      <c r="F27" s="177"/>
      <c r="G27" s="430"/>
      <c r="H27" s="200" t="s">
        <v>147</v>
      </c>
      <c r="I27" s="194">
        <v>0</v>
      </c>
      <c r="J27" s="180" t="s">
        <v>66</v>
      </c>
      <c r="K27" s="181">
        <v>1</v>
      </c>
      <c r="L27" s="201"/>
      <c r="M27" s="201"/>
      <c r="N27" s="180" t="s">
        <v>106</v>
      </c>
      <c r="O27" s="202">
        <f t="shared" si="1"/>
        <v>0</v>
      </c>
    </row>
    <row r="28" spans="1:16" s="207" customFormat="1" ht="15.95" hidden="1" customHeight="1">
      <c r="A28" s="447"/>
      <c r="B28" s="448"/>
      <c r="C28" s="449"/>
      <c r="D28" s="450"/>
      <c r="E28" s="450"/>
      <c r="F28" s="451"/>
      <c r="G28" s="452"/>
      <c r="H28" s="453" t="s">
        <v>151</v>
      </c>
      <c r="I28" s="454">
        <v>0</v>
      </c>
      <c r="J28" s="455" t="s">
        <v>66</v>
      </c>
      <c r="K28" s="456">
        <v>1</v>
      </c>
      <c r="L28" s="457"/>
      <c r="M28" s="457"/>
      <c r="N28" s="455" t="s">
        <v>1</v>
      </c>
      <c r="O28" s="458">
        <f t="shared" si="1"/>
        <v>0</v>
      </c>
    </row>
    <row r="29" spans="1:16" s="208" customFormat="1" ht="15.95" customHeight="1">
      <c r="A29" s="791" t="s">
        <v>107</v>
      </c>
      <c r="B29" s="792"/>
      <c r="C29" s="793"/>
      <c r="D29" s="444">
        <f>SUM(D30)</f>
        <v>225.50899999999999</v>
      </c>
      <c r="E29" s="444">
        <f>E30</f>
        <v>0</v>
      </c>
      <c r="F29" s="445">
        <f>F30</f>
        <v>-225.50899999999999</v>
      </c>
      <c r="G29" s="446">
        <v>0</v>
      </c>
      <c r="H29" s="747"/>
      <c r="I29" s="748"/>
      <c r="J29" s="748"/>
      <c r="K29" s="748"/>
      <c r="L29" s="748"/>
      <c r="M29" s="748"/>
      <c r="N29" s="748"/>
      <c r="O29" s="749"/>
    </row>
    <row r="30" spans="1:16" ht="15.95" customHeight="1">
      <c r="A30" s="155"/>
      <c r="B30" s="156" t="s">
        <v>107</v>
      </c>
      <c r="C30" s="157"/>
      <c r="D30" s="158">
        <f>SUM(D31)</f>
        <v>225.50899999999999</v>
      </c>
      <c r="E30" s="158">
        <f>E31</f>
        <v>0</v>
      </c>
      <c r="F30" s="159">
        <f>F31</f>
        <v>-225.50899999999999</v>
      </c>
      <c r="G30" s="432">
        <v>0</v>
      </c>
      <c r="H30" s="764"/>
      <c r="I30" s="765"/>
      <c r="J30" s="765"/>
      <c r="K30" s="765"/>
      <c r="L30" s="765"/>
      <c r="M30" s="765"/>
      <c r="N30" s="765"/>
      <c r="O30" s="766"/>
    </row>
    <row r="31" spans="1:16" ht="15.95" customHeight="1">
      <c r="A31" s="164"/>
      <c r="B31" s="188"/>
      <c r="C31" s="166" t="s">
        <v>107</v>
      </c>
      <c r="D31" s="167">
        <f>225509/1000</f>
        <v>225.50899999999999</v>
      </c>
      <c r="E31" s="167">
        <f>$O$31/1000</f>
        <v>0</v>
      </c>
      <c r="F31" s="168">
        <f>E31-D31</f>
        <v>-225.50899999999999</v>
      </c>
      <c r="G31" s="433">
        <v>0</v>
      </c>
      <c r="H31" s="189" t="s">
        <v>108</v>
      </c>
      <c r="I31" s="198"/>
      <c r="J31" s="169"/>
      <c r="K31" s="191"/>
      <c r="L31" s="169"/>
      <c r="M31" s="171"/>
      <c r="N31" s="169"/>
      <c r="O31" s="172">
        <f>SUM(O32:O33)</f>
        <v>0</v>
      </c>
    </row>
    <row r="32" spans="1:16" ht="15.95" customHeight="1">
      <c r="A32" s="164"/>
      <c r="B32" s="192"/>
      <c r="C32" s="175"/>
      <c r="D32" s="176"/>
      <c r="E32" s="176"/>
      <c r="F32" s="209"/>
      <c r="G32" s="430"/>
      <c r="H32" s="193" t="s">
        <v>146</v>
      </c>
      <c r="I32" s="179">
        <v>0</v>
      </c>
      <c r="J32" s="180" t="s">
        <v>66</v>
      </c>
      <c r="K32" s="210">
        <v>1</v>
      </c>
      <c r="L32" s="180"/>
      <c r="M32" s="182"/>
      <c r="N32" s="180" t="s">
        <v>1</v>
      </c>
      <c r="O32" s="183">
        <f>I32*K32</f>
        <v>0</v>
      </c>
    </row>
    <row r="33" spans="1:15" s="207" customFormat="1" ht="15.95" customHeight="1">
      <c r="A33" s="203"/>
      <c r="B33" s="204"/>
      <c r="C33" s="402"/>
      <c r="D33" s="205"/>
      <c r="E33" s="205"/>
      <c r="F33" s="403"/>
      <c r="G33" s="431"/>
      <c r="H33" s="404" t="s">
        <v>107</v>
      </c>
      <c r="I33" s="405">
        <v>0</v>
      </c>
      <c r="J33" s="206" t="s">
        <v>66</v>
      </c>
      <c r="K33" s="406">
        <v>1</v>
      </c>
      <c r="L33" s="206"/>
      <c r="M33" s="407"/>
      <c r="N33" s="206" t="s">
        <v>106</v>
      </c>
      <c r="O33" s="408">
        <f>I33*K33</f>
        <v>0</v>
      </c>
    </row>
    <row r="35" spans="1:15">
      <c r="O35" s="123"/>
    </row>
  </sheetData>
  <customSheetViews>
    <customSheetView guid="{39574142-277E-4296-AA2F-EE5B7F5EB8C6}" topLeftCell="A39">
      <selection activeCell="D53" sqref="D53:D55"/>
      <pageMargins left="0.55000000000000004" right="0.21" top="0.74803149606299213" bottom="0.74803149606299213" header="0.31496062992125984" footer="0.31496062992125984"/>
      <pageSetup paperSize="9" orientation="landscape" r:id="rId1"/>
    </customSheetView>
    <customSheetView guid="{AECBB1FD-440B-44B5-88B4-35517DBA2BD4}" topLeftCell="A39">
      <selection activeCell="D53" sqref="D53:D55"/>
      <pageMargins left="0.55000000000000004" right="0.21" top="0.74803149606299213" bottom="0.74803149606299213" header="0.31496062992125984" footer="0.31496062992125984"/>
      <pageSetup paperSize="9" orientation="landscape" r:id="rId2"/>
    </customSheetView>
  </customSheetViews>
  <mergeCells count="22">
    <mergeCell ref="B7:C7"/>
    <mergeCell ref="H30:O30"/>
    <mergeCell ref="H12:O12"/>
    <mergeCell ref="A1:O1"/>
    <mergeCell ref="A2:O2"/>
    <mergeCell ref="A5:C5"/>
    <mergeCell ref="A3:C3"/>
    <mergeCell ref="H8:I8"/>
    <mergeCell ref="A6:C6"/>
    <mergeCell ref="H3:O4"/>
    <mergeCell ref="H5:O5"/>
    <mergeCell ref="H6:O6"/>
    <mergeCell ref="F3:G3"/>
    <mergeCell ref="D3:E3"/>
    <mergeCell ref="A29:C29"/>
    <mergeCell ref="A23:C23"/>
    <mergeCell ref="H29:O29"/>
    <mergeCell ref="A19:C19"/>
    <mergeCell ref="A12:C12"/>
    <mergeCell ref="H19:O19"/>
    <mergeCell ref="H23:O23"/>
    <mergeCell ref="H24:O24"/>
  </mergeCells>
  <phoneticPr fontId="2" type="noConversion"/>
  <pageMargins left="0.55118110236220474" right="0.55118110236220474" top="0.74803149606299213" bottom="0.74803149606299213" header="0.31496062992125984" footer="0.31496062992125984"/>
  <pageSetup paperSize="9" scale="96" firstPageNumber="4" fitToHeight="0" orientation="landscape" useFirstPageNumber="1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3"/>
  <sheetViews>
    <sheetView view="pageBreakPreview" topLeftCell="A31" zoomScaleNormal="100" zoomScaleSheetLayoutView="100" workbookViewId="0">
      <selection activeCell="J34" sqref="J34:J36"/>
    </sheetView>
  </sheetViews>
  <sheetFormatPr defaultColWidth="9.77734375" defaultRowHeight="16.5"/>
  <cols>
    <col min="1" max="1" width="7" style="387" customWidth="1"/>
    <col min="2" max="2" width="6.33203125" style="388" customWidth="1"/>
    <col min="3" max="3" width="12.44140625" style="389" bestFit="1" customWidth="1"/>
    <col min="4" max="4" width="10.77734375" style="390" customWidth="1"/>
    <col min="5" max="5" width="10.77734375" style="391" customWidth="1"/>
    <col min="6" max="6" width="9.77734375" style="392" customWidth="1"/>
    <col min="7" max="7" width="8.88671875" style="425" customWidth="1"/>
    <col min="8" max="8" width="22.5546875" style="393" customWidth="1"/>
    <col min="9" max="9" width="12.44140625" style="123" bestFit="1" customWidth="1"/>
    <col min="10" max="10" width="1.88671875" style="123" customWidth="1"/>
    <col min="11" max="11" width="7.109375" style="123" bestFit="1" customWidth="1"/>
    <col min="12" max="12" width="1.88671875" style="123" customWidth="1"/>
    <col min="13" max="13" width="5.21875" style="123" bestFit="1" customWidth="1"/>
    <col min="14" max="14" width="1.6640625" style="123" customWidth="1"/>
    <col min="15" max="15" width="7.21875" style="123" bestFit="1" customWidth="1"/>
    <col min="16" max="16" width="2.44140625" style="123" customWidth="1"/>
    <col min="17" max="17" width="14.44140625" style="123" bestFit="1" customWidth="1"/>
    <col min="18" max="18" width="14.44140625" style="123" customWidth="1"/>
    <col min="19" max="19" width="20.44140625" style="217" customWidth="1"/>
    <col min="20" max="20" width="11.6640625" style="217" bestFit="1" customWidth="1"/>
    <col min="21" max="16384" width="9.77734375" style="217"/>
  </cols>
  <sheetData>
    <row r="1" spans="1:19" s="141" customFormat="1" ht="31.9" customHeight="1">
      <c r="A1" s="799" t="s">
        <v>449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218"/>
    </row>
    <row r="2" spans="1:19" s="141" customFormat="1" ht="23.25" customHeight="1" thickBot="1">
      <c r="A2" s="219"/>
      <c r="B2" s="220"/>
      <c r="C2" s="221"/>
      <c r="D2" s="222"/>
      <c r="E2" s="220"/>
      <c r="F2" s="223"/>
      <c r="G2" s="409"/>
      <c r="H2" s="224"/>
      <c r="I2" s="224"/>
      <c r="J2" s="224"/>
      <c r="K2" s="224"/>
      <c r="L2" s="224"/>
      <c r="M2" s="224"/>
      <c r="N2" s="224"/>
      <c r="O2" s="224"/>
      <c r="P2" s="224"/>
      <c r="Q2" s="224" t="s">
        <v>4</v>
      </c>
      <c r="R2" s="224"/>
    </row>
    <row r="3" spans="1:19" s="436" customFormat="1" ht="20.100000000000001" customHeight="1">
      <c r="A3" s="800" t="s">
        <v>6</v>
      </c>
      <c r="B3" s="801"/>
      <c r="C3" s="802"/>
      <c r="D3" s="803" t="s">
        <v>7</v>
      </c>
      <c r="E3" s="804"/>
      <c r="F3" s="805" t="s">
        <v>65</v>
      </c>
      <c r="G3" s="806"/>
      <c r="H3" s="815" t="s">
        <v>77</v>
      </c>
      <c r="I3" s="816"/>
      <c r="J3" s="816"/>
      <c r="K3" s="816"/>
      <c r="L3" s="816"/>
      <c r="M3" s="816"/>
      <c r="N3" s="816"/>
      <c r="O3" s="816"/>
      <c r="P3" s="816"/>
      <c r="Q3" s="817"/>
      <c r="R3" s="225"/>
    </row>
    <row r="4" spans="1:19" s="436" customFormat="1" ht="30" customHeight="1" thickBot="1">
      <c r="A4" s="226" t="s">
        <v>11</v>
      </c>
      <c r="B4" s="227" t="s">
        <v>12</v>
      </c>
      <c r="C4" s="227" t="s">
        <v>13</v>
      </c>
      <c r="D4" s="228" t="s">
        <v>350</v>
      </c>
      <c r="E4" s="229" t="s">
        <v>351</v>
      </c>
      <c r="F4" s="230" t="s">
        <v>154</v>
      </c>
      <c r="G4" s="410" t="s">
        <v>83</v>
      </c>
      <c r="H4" s="818"/>
      <c r="I4" s="819"/>
      <c r="J4" s="819"/>
      <c r="K4" s="819"/>
      <c r="L4" s="819"/>
      <c r="M4" s="819"/>
      <c r="N4" s="819"/>
      <c r="O4" s="819"/>
      <c r="P4" s="819"/>
      <c r="Q4" s="820"/>
      <c r="R4" s="225"/>
    </row>
    <row r="5" spans="1:19" s="237" customFormat="1" ht="18" customHeight="1" thickTop="1">
      <c r="A5" s="809" t="s">
        <v>142</v>
      </c>
      <c r="B5" s="810"/>
      <c r="C5" s="811"/>
      <c r="D5" s="231">
        <f>SUM(D6,D121,D114,D243)</f>
        <v>3231536</v>
      </c>
      <c r="E5" s="231">
        <f ca="1">SUM(E6,E121,E114,E243)</f>
        <v>3531329</v>
      </c>
      <c r="F5" s="232">
        <f ca="1">E5-D5</f>
        <v>314353</v>
      </c>
      <c r="G5" s="411">
        <f ca="1">F5/D5</f>
        <v>9.7578608465030345E-2</v>
      </c>
      <c r="H5" s="233"/>
      <c r="I5" s="234"/>
      <c r="J5" s="234"/>
      <c r="K5" s="234"/>
      <c r="L5" s="234"/>
      <c r="M5" s="234"/>
      <c r="N5" s="234"/>
      <c r="O5" s="234"/>
      <c r="P5" s="234"/>
      <c r="Q5" s="235"/>
      <c r="R5" s="236"/>
    </row>
    <row r="6" spans="1:19" s="244" customFormat="1" ht="18" customHeight="1">
      <c r="A6" s="812" t="s">
        <v>148</v>
      </c>
      <c r="B6" s="813"/>
      <c r="C6" s="814"/>
      <c r="D6" s="238">
        <f>SUM(D7+D87+D92)</f>
        <v>1272910</v>
      </c>
      <c r="E6" s="238">
        <f>SUM(E7+E87+E92)</f>
        <v>1277179</v>
      </c>
      <c r="F6" s="239">
        <f>E6-D6</f>
        <v>4269</v>
      </c>
      <c r="G6" s="412">
        <f>F6/D6</f>
        <v>3.3537327855072234E-3</v>
      </c>
      <c r="H6" s="240"/>
      <c r="I6" s="241"/>
      <c r="J6" s="241"/>
      <c r="K6" s="241"/>
      <c r="L6" s="241"/>
      <c r="M6" s="241"/>
      <c r="N6" s="241"/>
      <c r="O6" s="241"/>
      <c r="P6" s="241"/>
      <c r="Q6" s="242"/>
      <c r="R6" s="243"/>
    </row>
    <row r="7" spans="1:19" s="244" customFormat="1" ht="18" customHeight="1">
      <c r="A7" s="245"/>
      <c r="B7" s="807" t="s">
        <v>149</v>
      </c>
      <c r="C7" s="808"/>
      <c r="D7" s="247">
        <f>SUM(D8+D42+D76+D78+D85)</f>
        <v>1148589</v>
      </c>
      <c r="E7" s="247">
        <f>SUM(E8+E42+E76+E78+E85)</f>
        <v>1145613</v>
      </c>
      <c r="F7" s="248">
        <f>E7-D7</f>
        <v>-2976</v>
      </c>
      <c r="G7" s="413">
        <f>F7/D7</f>
        <v>-2.5910051376079692E-3</v>
      </c>
      <c r="H7" s="249"/>
      <c r="I7" s="250"/>
      <c r="J7" s="250"/>
      <c r="K7" s="250"/>
      <c r="L7" s="250"/>
      <c r="M7" s="250"/>
      <c r="N7" s="250"/>
      <c r="O7" s="250"/>
      <c r="P7" s="250"/>
      <c r="Q7" s="251"/>
      <c r="R7" s="252"/>
      <c r="S7" s="253"/>
    </row>
    <row r="8" spans="1:19" s="267" customFormat="1" ht="18" customHeight="1">
      <c r="A8" s="254"/>
      <c r="B8" s="255"/>
      <c r="C8" s="541" t="s">
        <v>80</v>
      </c>
      <c r="D8" s="257">
        <f>ROUND((717011080/1000),0)</f>
        <v>717011</v>
      </c>
      <c r="E8" s="257">
        <f>ROUND(($Q$8/1000),0)</f>
        <v>782366</v>
      </c>
      <c r="F8" s="258">
        <f>E8-D8</f>
        <v>65355</v>
      </c>
      <c r="G8" s="414">
        <f>F8/D8</f>
        <v>9.1149229230792828E-2</v>
      </c>
      <c r="H8" s="259" t="s">
        <v>69</v>
      </c>
      <c r="I8" s="260"/>
      <c r="J8" s="261"/>
      <c r="K8" s="261"/>
      <c r="L8" s="261"/>
      <c r="M8" s="261"/>
      <c r="N8" s="261"/>
      <c r="O8" s="262"/>
      <c r="P8" s="263"/>
      <c r="Q8" s="264">
        <f>SUM(Q9:Q41)</f>
        <v>782366150</v>
      </c>
      <c r="R8" s="265"/>
      <c r="S8" s="266"/>
    </row>
    <row r="9" spans="1:19" s="267" customFormat="1" ht="18" customHeight="1">
      <c r="A9" s="254"/>
      <c r="B9" s="268"/>
      <c r="C9" s="578"/>
      <c r="D9" s="270"/>
      <c r="E9" s="270"/>
      <c r="F9" s="271"/>
      <c r="G9" s="417"/>
      <c r="H9" s="272" t="s">
        <v>365</v>
      </c>
      <c r="I9" s="273">
        <v>3138167</v>
      </c>
      <c r="J9" s="263" t="s">
        <v>66</v>
      </c>
      <c r="K9" s="274">
        <v>1</v>
      </c>
      <c r="L9" s="263" t="s">
        <v>66</v>
      </c>
      <c r="M9" s="275">
        <v>12</v>
      </c>
      <c r="N9" s="263"/>
      <c r="O9" s="276"/>
      <c r="P9" s="263" t="s">
        <v>361</v>
      </c>
      <c r="Q9" s="277">
        <f>ROUND(I9*M9,-1)</f>
        <v>37658000</v>
      </c>
      <c r="R9" s="265"/>
      <c r="S9" s="266"/>
    </row>
    <row r="10" spans="1:19" s="267" customFormat="1" ht="18" customHeight="1">
      <c r="A10" s="254"/>
      <c r="B10" s="268"/>
      <c r="C10" s="578"/>
      <c r="D10" s="270"/>
      <c r="E10" s="270"/>
      <c r="F10" s="271"/>
      <c r="G10" s="417"/>
      <c r="H10" s="272" t="s">
        <v>453</v>
      </c>
      <c r="I10" s="273">
        <v>2934767</v>
      </c>
      <c r="J10" s="263" t="s">
        <v>66</v>
      </c>
      <c r="K10" s="274">
        <v>1</v>
      </c>
      <c r="L10" s="263" t="s">
        <v>66</v>
      </c>
      <c r="M10" s="275">
        <v>12</v>
      </c>
      <c r="N10" s="263"/>
      <c r="O10" s="276"/>
      <c r="P10" s="263" t="s">
        <v>1</v>
      </c>
      <c r="Q10" s="277">
        <f t="shared" ref="Q10:Q35" si="0">ROUND(I10*M10,-1)</f>
        <v>35217200</v>
      </c>
      <c r="R10" s="265"/>
      <c r="S10" s="266"/>
    </row>
    <row r="11" spans="1:19" s="267" customFormat="1" ht="18" customHeight="1">
      <c r="A11" s="254"/>
      <c r="B11" s="268"/>
      <c r="C11" s="578"/>
      <c r="D11" s="270"/>
      <c r="E11" s="270"/>
      <c r="F11" s="271"/>
      <c r="G11" s="417"/>
      <c r="H11" s="272" t="s">
        <v>367</v>
      </c>
      <c r="I11" s="273">
        <v>2746842</v>
      </c>
      <c r="J11" s="263" t="s">
        <v>66</v>
      </c>
      <c r="K11" s="274">
        <v>1</v>
      </c>
      <c r="L11" s="263" t="s">
        <v>66</v>
      </c>
      <c r="M11" s="275">
        <v>12</v>
      </c>
      <c r="N11" s="263"/>
      <c r="O11" s="276"/>
      <c r="P11" s="263" t="s">
        <v>1</v>
      </c>
      <c r="Q11" s="277">
        <f t="shared" si="0"/>
        <v>32962100</v>
      </c>
      <c r="R11" s="265"/>
      <c r="S11" s="266"/>
    </row>
    <row r="12" spans="1:19" s="267" customFormat="1" ht="18" customHeight="1">
      <c r="A12" s="254"/>
      <c r="B12" s="268"/>
      <c r="C12" s="578"/>
      <c r="D12" s="270"/>
      <c r="E12" s="270"/>
      <c r="F12" s="271"/>
      <c r="G12" s="417"/>
      <c r="H12" s="272" t="s">
        <v>368</v>
      </c>
      <c r="I12" s="273">
        <v>3089667</v>
      </c>
      <c r="J12" s="263" t="s">
        <v>66</v>
      </c>
      <c r="K12" s="274">
        <v>1</v>
      </c>
      <c r="L12" s="263" t="s">
        <v>66</v>
      </c>
      <c r="M12" s="275">
        <v>12</v>
      </c>
      <c r="N12" s="263"/>
      <c r="O12" s="276"/>
      <c r="P12" s="263" t="s">
        <v>361</v>
      </c>
      <c r="Q12" s="277">
        <f t="shared" si="0"/>
        <v>37076000</v>
      </c>
      <c r="R12" s="265"/>
      <c r="S12" s="266"/>
    </row>
    <row r="13" spans="1:19" s="267" customFormat="1" ht="18" customHeight="1">
      <c r="A13" s="254"/>
      <c r="B13" s="268"/>
      <c r="C13" s="578"/>
      <c r="D13" s="270"/>
      <c r="E13" s="270"/>
      <c r="F13" s="271"/>
      <c r="G13" s="417"/>
      <c r="H13" s="272" t="s">
        <v>454</v>
      </c>
      <c r="I13" s="273">
        <v>3108816.6</v>
      </c>
      <c r="J13" s="263" t="s">
        <v>66</v>
      </c>
      <c r="K13" s="274">
        <v>1</v>
      </c>
      <c r="L13" s="263" t="s">
        <v>66</v>
      </c>
      <c r="M13" s="275">
        <v>12</v>
      </c>
      <c r="N13" s="263"/>
      <c r="O13" s="276"/>
      <c r="P13" s="263" t="s">
        <v>1</v>
      </c>
      <c r="Q13" s="277">
        <f t="shared" si="0"/>
        <v>37305800</v>
      </c>
      <c r="R13" s="265"/>
      <c r="S13" s="266"/>
    </row>
    <row r="14" spans="1:19" s="267" customFormat="1" ht="18" customHeight="1">
      <c r="A14" s="254"/>
      <c r="B14" s="268"/>
      <c r="C14" s="578"/>
      <c r="D14" s="270"/>
      <c r="E14" s="270"/>
      <c r="F14" s="271"/>
      <c r="G14" s="417"/>
      <c r="H14" s="272" t="s">
        <v>371</v>
      </c>
      <c r="I14" s="273">
        <v>2599683</v>
      </c>
      <c r="J14" s="263" t="s">
        <v>66</v>
      </c>
      <c r="K14" s="274">
        <v>1</v>
      </c>
      <c r="L14" s="263" t="s">
        <v>66</v>
      </c>
      <c r="M14" s="275">
        <v>12</v>
      </c>
      <c r="N14" s="263"/>
      <c r="O14" s="276"/>
      <c r="P14" s="263" t="s">
        <v>1</v>
      </c>
      <c r="Q14" s="277">
        <f t="shared" si="0"/>
        <v>31196200</v>
      </c>
      <c r="R14" s="265"/>
      <c r="S14" s="266"/>
    </row>
    <row r="15" spans="1:19" s="267" customFormat="1" ht="18" customHeight="1">
      <c r="A15" s="254"/>
      <c r="B15" s="268"/>
      <c r="C15" s="578"/>
      <c r="D15" s="270"/>
      <c r="E15" s="270"/>
      <c r="F15" s="271"/>
      <c r="G15" s="417"/>
      <c r="H15" s="272" t="s">
        <v>372</v>
      </c>
      <c r="I15" s="273">
        <v>2170100</v>
      </c>
      <c r="J15" s="263" t="s">
        <v>66</v>
      </c>
      <c r="K15" s="274">
        <v>1</v>
      </c>
      <c r="L15" s="263" t="s">
        <v>66</v>
      </c>
      <c r="M15" s="275">
        <v>12</v>
      </c>
      <c r="N15" s="263"/>
      <c r="O15" s="276"/>
      <c r="P15" s="263" t="s">
        <v>1</v>
      </c>
      <c r="Q15" s="277">
        <f t="shared" si="0"/>
        <v>26041200</v>
      </c>
      <c r="R15" s="265"/>
      <c r="S15" s="266"/>
    </row>
    <row r="16" spans="1:19" s="267" customFormat="1" ht="18" customHeight="1">
      <c r="A16" s="254"/>
      <c r="B16" s="268"/>
      <c r="C16" s="578"/>
      <c r="D16" s="270"/>
      <c r="E16" s="270"/>
      <c r="F16" s="271"/>
      <c r="G16" s="417"/>
      <c r="H16" s="272" t="s">
        <v>455</v>
      </c>
      <c r="I16" s="273">
        <v>1910900</v>
      </c>
      <c r="J16" s="263" t="s">
        <v>66</v>
      </c>
      <c r="K16" s="274">
        <v>1</v>
      </c>
      <c r="L16" s="263" t="s">
        <v>66</v>
      </c>
      <c r="M16" s="275">
        <v>12</v>
      </c>
      <c r="N16" s="263"/>
      <c r="O16" s="276"/>
      <c r="P16" s="263" t="s">
        <v>361</v>
      </c>
      <c r="Q16" s="277">
        <f t="shared" si="0"/>
        <v>22930800</v>
      </c>
      <c r="R16" s="265"/>
      <c r="S16" s="266"/>
    </row>
    <row r="17" spans="1:19" s="267" customFormat="1" ht="18" customHeight="1">
      <c r="A17" s="254"/>
      <c r="B17" s="268"/>
      <c r="C17" s="578"/>
      <c r="D17" s="270"/>
      <c r="E17" s="270"/>
      <c r="F17" s="271"/>
      <c r="G17" s="417"/>
      <c r="H17" s="272" t="s">
        <v>375</v>
      </c>
      <c r="I17" s="273">
        <v>1993233</v>
      </c>
      <c r="J17" s="263" t="s">
        <v>66</v>
      </c>
      <c r="K17" s="274">
        <v>1</v>
      </c>
      <c r="L17" s="263" t="s">
        <v>66</v>
      </c>
      <c r="M17" s="275">
        <v>12</v>
      </c>
      <c r="N17" s="263"/>
      <c r="O17" s="276"/>
      <c r="P17" s="263" t="s">
        <v>361</v>
      </c>
      <c r="Q17" s="277">
        <f t="shared" si="0"/>
        <v>23918800</v>
      </c>
      <c r="R17" s="265"/>
      <c r="S17" s="266"/>
    </row>
    <row r="18" spans="1:19" s="267" customFormat="1" ht="18" customHeight="1">
      <c r="A18" s="254"/>
      <c r="B18" s="268"/>
      <c r="C18" s="578"/>
      <c r="D18" s="270"/>
      <c r="E18" s="270"/>
      <c r="F18" s="271"/>
      <c r="G18" s="417"/>
      <c r="H18" s="272" t="s">
        <v>456</v>
      </c>
      <c r="I18" s="273">
        <v>2094200</v>
      </c>
      <c r="J18" s="263" t="s">
        <v>66</v>
      </c>
      <c r="K18" s="274">
        <v>1</v>
      </c>
      <c r="L18" s="263" t="s">
        <v>66</v>
      </c>
      <c r="M18" s="275">
        <v>12</v>
      </c>
      <c r="N18" s="263"/>
      <c r="O18" s="276"/>
      <c r="P18" s="263" t="s">
        <v>361</v>
      </c>
      <c r="Q18" s="277">
        <f t="shared" si="0"/>
        <v>25130400</v>
      </c>
      <c r="R18" s="265"/>
      <c r="S18" s="266"/>
    </row>
    <row r="19" spans="1:19" s="267" customFormat="1" ht="18" customHeight="1">
      <c r="A19" s="254"/>
      <c r="B19" s="268"/>
      <c r="C19" s="578"/>
      <c r="D19" s="270"/>
      <c r="E19" s="270"/>
      <c r="F19" s="271"/>
      <c r="G19" s="417"/>
      <c r="H19" s="272" t="s">
        <v>375</v>
      </c>
      <c r="I19" s="273">
        <v>2017767</v>
      </c>
      <c r="J19" s="263" t="s">
        <v>66</v>
      </c>
      <c r="K19" s="274">
        <v>1</v>
      </c>
      <c r="L19" s="263" t="s">
        <v>66</v>
      </c>
      <c r="M19" s="275">
        <v>12</v>
      </c>
      <c r="N19" s="263"/>
      <c r="O19" s="276"/>
      <c r="P19" s="263" t="s">
        <v>361</v>
      </c>
      <c r="Q19" s="277">
        <f t="shared" si="0"/>
        <v>24213200</v>
      </c>
      <c r="R19" s="265"/>
      <c r="S19" s="266"/>
    </row>
    <row r="20" spans="1:19" s="267" customFormat="1" ht="18" customHeight="1">
      <c r="A20" s="254"/>
      <c r="B20" s="268"/>
      <c r="C20" s="578"/>
      <c r="D20" s="270"/>
      <c r="E20" s="270"/>
      <c r="F20" s="271"/>
      <c r="G20" s="417"/>
      <c r="H20" s="272" t="s">
        <v>369</v>
      </c>
      <c r="I20" s="273">
        <v>2503450</v>
      </c>
      <c r="J20" s="263" t="s">
        <v>66</v>
      </c>
      <c r="K20" s="274">
        <v>1</v>
      </c>
      <c r="L20" s="263" t="s">
        <v>66</v>
      </c>
      <c r="M20" s="275">
        <v>12</v>
      </c>
      <c r="N20" s="263"/>
      <c r="O20" s="276"/>
      <c r="P20" s="263" t="s">
        <v>361</v>
      </c>
      <c r="Q20" s="277">
        <f t="shared" si="0"/>
        <v>30041400</v>
      </c>
      <c r="R20" s="265"/>
      <c r="S20" s="266"/>
    </row>
    <row r="21" spans="1:19" s="267" customFormat="1" ht="18" customHeight="1">
      <c r="A21" s="254"/>
      <c r="B21" s="268"/>
      <c r="C21" s="578"/>
      <c r="D21" s="270"/>
      <c r="E21" s="270"/>
      <c r="F21" s="271"/>
      <c r="G21" s="417"/>
      <c r="H21" s="272" t="s">
        <v>370</v>
      </c>
      <c r="I21" s="273">
        <v>2388500</v>
      </c>
      <c r="J21" s="263" t="s">
        <v>66</v>
      </c>
      <c r="K21" s="274">
        <v>1</v>
      </c>
      <c r="L21" s="263" t="s">
        <v>66</v>
      </c>
      <c r="M21" s="275">
        <v>12</v>
      </c>
      <c r="N21" s="263"/>
      <c r="O21" s="276"/>
      <c r="P21" s="263" t="s">
        <v>361</v>
      </c>
      <c r="Q21" s="277">
        <f t="shared" si="0"/>
        <v>28662000</v>
      </c>
      <c r="R21" s="265"/>
      <c r="S21" s="266"/>
    </row>
    <row r="22" spans="1:19" s="267" customFormat="1" ht="18" customHeight="1">
      <c r="A22" s="254"/>
      <c r="B22" s="268"/>
      <c r="C22" s="578"/>
      <c r="D22" s="270"/>
      <c r="E22" s="270"/>
      <c r="F22" s="271"/>
      <c r="G22" s="417"/>
      <c r="H22" s="272" t="s">
        <v>372</v>
      </c>
      <c r="I22" s="273">
        <v>2134400</v>
      </c>
      <c r="J22" s="263" t="s">
        <v>66</v>
      </c>
      <c r="K22" s="274">
        <v>1</v>
      </c>
      <c r="L22" s="263" t="s">
        <v>66</v>
      </c>
      <c r="M22" s="275">
        <v>12</v>
      </c>
      <c r="N22" s="263"/>
      <c r="O22" s="276"/>
      <c r="P22" s="263" t="s">
        <v>361</v>
      </c>
      <c r="Q22" s="277">
        <f t="shared" si="0"/>
        <v>25612800</v>
      </c>
      <c r="R22" s="265"/>
      <c r="S22" s="266"/>
    </row>
    <row r="23" spans="1:19" s="267" customFormat="1" ht="18" customHeight="1">
      <c r="A23" s="254"/>
      <c r="B23" s="268"/>
      <c r="C23" s="578"/>
      <c r="D23" s="270"/>
      <c r="E23" s="270"/>
      <c r="F23" s="271"/>
      <c r="G23" s="417"/>
      <c r="H23" s="272" t="s">
        <v>457</v>
      </c>
      <c r="I23" s="273">
        <v>1868211</v>
      </c>
      <c r="J23" s="263" t="s">
        <v>66</v>
      </c>
      <c r="K23" s="274">
        <v>1</v>
      </c>
      <c r="L23" s="263" t="s">
        <v>66</v>
      </c>
      <c r="M23" s="275">
        <v>8</v>
      </c>
      <c r="N23" s="263"/>
      <c r="O23" s="276"/>
      <c r="P23" s="263" t="s">
        <v>361</v>
      </c>
      <c r="Q23" s="277">
        <f t="shared" si="0"/>
        <v>14945690</v>
      </c>
      <c r="R23" s="265"/>
      <c r="S23" s="266"/>
    </row>
    <row r="24" spans="1:19" s="267" customFormat="1" ht="18" customHeight="1">
      <c r="A24" s="254"/>
      <c r="B24" s="268"/>
      <c r="C24" s="578"/>
      <c r="D24" s="270"/>
      <c r="E24" s="270"/>
      <c r="F24" s="271"/>
      <c r="G24" s="417"/>
      <c r="H24" s="272" t="s">
        <v>458</v>
      </c>
      <c r="I24" s="273">
        <v>2019150</v>
      </c>
      <c r="J24" s="263" t="s">
        <v>66</v>
      </c>
      <c r="K24" s="274">
        <v>1</v>
      </c>
      <c r="L24" s="263" t="s">
        <v>66</v>
      </c>
      <c r="M24" s="275">
        <v>4</v>
      </c>
      <c r="N24" s="263"/>
      <c r="O24" s="276"/>
      <c r="P24" s="263" t="s">
        <v>361</v>
      </c>
      <c r="Q24" s="277">
        <f t="shared" si="0"/>
        <v>8076600</v>
      </c>
      <c r="R24" s="265"/>
      <c r="S24" s="266"/>
    </row>
    <row r="25" spans="1:19" s="267" customFormat="1" ht="18" customHeight="1">
      <c r="A25" s="254"/>
      <c r="B25" s="268"/>
      <c r="C25" s="578"/>
      <c r="D25" s="270"/>
      <c r="E25" s="270"/>
      <c r="F25" s="271"/>
      <c r="G25" s="417"/>
      <c r="H25" s="272" t="s">
        <v>455</v>
      </c>
      <c r="I25" s="273">
        <v>1952424</v>
      </c>
      <c r="J25" s="263" t="s">
        <v>66</v>
      </c>
      <c r="K25" s="274">
        <v>1</v>
      </c>
      <c r="L25" s="263" t="s">
        <v>66</v>
      </c>
      <c r="M25" s="275">
        <v>10</v>
      </c>
      <c r="N25" s="263"/>
      <c r="O25" s="276"/>
      <c r="P25" s="263" t="s">
        <v>361</v>
      </c>
      <c r="Q25" s="277">
        <f t="shared" si="0"/>
        <v>19524240</v>
      </c>
      <c r="R25" s="265"/>
      <c r="S25" s="266"/>
    </row>
    <row r="26" spans="1:19" s="267" customFormat="1" ht="18" customHeight="1">
      <c r="A26" s="254"/>
      <c r="B26" s="268"/>
      <c r="C26" s="578"/>
      <c r="D26" s="270"/>
      <c r="E26" s="270"/>
      <c r="F26" s="271"/>
      <c r="G26" s="417"/>
      <c r="H26" s="272" t="s">
        <v>459</v>
      </c>
      <c r="I26" s="273">
        <v>2183565</v>
      </c>
      <c r="J26" s="263" t="s">
        <v>66</v>
      </c>
      <c r="K26" s="274">
        <v>1</v>
      </c>
      <c r="L26" s="263" t="s">
        <v>66</v>
      </c>
      <c r="M26" s="275">
        <v>2</v>
      </c>
      <c r="N26" s="263"/>
      <c r="O26" s="276"/>
      <c r="P26" s="263" t="s">
        <v>361</v>
      </c>
      <c r="Q26" s="277">
        <f t="shared" si="0"/>
        <v>4367130</v>
      </c>
      <c r="R26" s="265"/>
      <c r="S26" s="266"/>
    </row>
    <row r="27" spans="1:19" s="267" customFormat="1" ht="18" customHeight="1">
      <c r="A27" s="254"/>
      <c r="B27" s="268"/>
      <c r="C27" s="578"/>
      <c r="D27" s="270"/>
      <c r="E27" s="270"/>
      <c r="F27" s="271"/>
      <c r="G27" s="417"/>
      <c r="H27" s="272" t="s">
        <v>460</v>
      </c>
      <c r="I27" s="273">
        <v>2206350</v>
      </c>
      <c r="J27" s="263" t="s">
        <v>66</v>
      </c>
      <c r="K27" s="274">
        <v>1</v>
      </c>
      <c r="L27" s="263" t="s">
        <v>66</v>
      </c>
      <c r="M27" s="275">
        <v>12</v>
      </c>
      <c r="N27" s="263"/>
      <c r="O27" s="276"/>
      <c r="P27" s="263" t="s">
        <v>361</v>
      </c>
      <c r="Q27" s="277">
        <f t="shared" si="0"/>
        <v>26476200</v>
      </c>
      <c r="R27" s="265"/>
      <c r="S27" s="266"/>
    </row>
    <row r="28" spans="1:19" s="267" customFormat="1" ht="18" customHeight="1">
      <c r="A28" s="254"/>
      <c r="B28" s="268"/>
      <c r="C28" s="578"/>
      <c r="D28" s="270"/>
      <c r="E28" s="270"/>
      <c r="F28" s="271"/>
      <c r="G28" s="417"/>
      <c r="H28" s="272" t="s">
        <v>455</v>
      </c>
      <c r="I28" s="273">
        <v>1840643</v>
      </c>
      <c r="J28" s="263" t="s">
        <v>66</v>
      </c>
      <c r="K28" s="274">
        <v>1</v>
      </c>
      <c r="L28" s="263" t="s">
        <v>66</v>
      </c>
      <c r="M28" s="275">
        <v>8</v>
      </c>
      <c r="N28" s="263"/>
      <c r="O28" s="276"/>
      <c r="P28" s="263" t="s">
        <v>361</v>
      </c>
      <c r="Q28" s="277">
        <f t="shared" si="0"/>
        <v>14725140</v>
      </c>
      <c r="R28" s="265"/>
      <c r="S28" s="266"/>
    </row>
    <row r="29" spans="1:19" s="267" customFormat="1" ht="18" customHeight="1">
      <c r="A29" s="254"/>
      <c r="B29" s="268"/>
      <c r="C29" s="578"/>
      <c r="D29" s="270"/>
      <c r="E29" s="270"/>
      <c r="F29" s="271"/>
      <c r="G29" s="417"/>
      <c r="H29" s="272" t="s">
        <v>373</v>
      </c>
      <c r="I29" s="273">
        <v>2177030</v>
      </c>
      <c r="J29" s="263" t="s">
        <v>66</v>
      </c>
      <c r="K29" s="274">
        <v>1</v>
      </c>
      <c r="L29" s="263" t="s">
        <v>66</v>
      </c>
      <c r="M29" s="275">
        <v>4</v>
      </c>
      <c r="N29" s="263"/>
      <c r="O29" s="276"/>
      <c r="P29" s="263" t="s">
        <v>361</v>
      </c>
      <c r="Q29" s="277">
        <f t="shared" si="0"/>
        <v>8708120</v>
      </c>
      <c r="R29" s="265"/>
      <c r="S29" s="266"/>
    </row>
    <row r="30" spans="1:19" s="267" customFormat="1" ht="18" customHeight="1">
      <c r="A30" s="254"/>
      <c r="B30" s="268"/>
      <c r="C30" s="578"/>
      <c r="D30" s="270"/>
      <c r="E30" s="270"/>
      <c r="F30" s="271"/>
      <c r="G30" s="417"/>
      <c r="H30" s="272" t="s">
        <v>461</v>
      </c>
      <c r="I30" s="273">
        <v>2094200</v>
      </c>
      <c r="J30" s="263" t="s">
        <v>66</v>
      </c>
      <c r="K30" s="274">
        <v>1</v>
      </c>
      <c r="L30" s="263" t="s">
        <v>66</v>
      </c>
      <c r="M30" s="275">
        <v>12</v>
      </c>
      <c r="N30" s="263"/>
      <c r="O30" s="276"/>
      <c r="P30" s="263" t="s">
        <v>361</v>
      </c>
      <c r="Q30" s="277">
        <f t="shared" si="0"/>
        <v>25130400</v>
      </c>
      <c r="R30" s="265"/>
      <c r="S30" s="266"/>
    </row>
    <row r="31" spans="1:19" s="267" customFormat="1" ht="18" customHeight="1">
      <c r="A31" s="254"/>
      <c r="B31" s="268"/>
      <c r="C31" s="578"/>
      <c r="D31" s="270"/>
      <c r="E31" s="270"/>
      <c r="F31" s="271"/>
      <c r="G31" s="417"/>
      <c r="H31" s="272" t="s">
        <v>458</v>
      </c>
      <c r="I31" s="273">
        <v>2011633</v>
      </c>
      <c r="J31" s="263" t="s">
        <v>66</v>
      </c>
      <c r="K31" s="274">
        <v>1</v>
      </c>
      <c r="L31" s="263" t="s">
        <v>66</v>
      </c>
      <c r="M31" s="275">
        <v>12</v>
      </c>
      <c r="N31" s="263"/>
      <c r="O31" s="276"/>
      <c r="P31" s="263" t="s">
        <v>361</v>
      </c>
      <c r="Q31" s="277">
        <f t="shared" si="0"/>
        <v>24139600</v>
      </c>
      <c r="R31" s="265"/>
      <c r="S31" s="266"/>
    </row>
    <row r="32" spans="1:19" s="267" customFormat="1" ht="18" customHeight="1">
      <c r="A32" s="254"/>
      <c r="B32" s="268"/>
      <c r="C32" s="578"/>
      <c r="D32" s="270"/>
      <c r="E32" s="270"/>
      <c r="F32" s="271"/>
      <c r="G32" s="417"/>
      <c r="H32" s="272" t="s">
        <v>462</v>
      </c>
      <c r="I32" s="273">
        <v>1906733</v>
      </c>
      <c r="J32" s="263" t="s">
        <v>66</v>
      </c>
      <c r="K32" s="274">
        <v>1</v>
      </c>
      <c r="L32" s="263" t="s">
        <v>66</v>
      </c>
      <c r="M32" s="275">
        <v>9</v>
      </c>
      <c r="N32" s="263"/>
      <c r="O32" s="276"/>
      <c r="P32" s="263" t="s">
        <v>361</v>
      </c>
      <c r="Q32" s="277">
        <f t="shared" si="0"/>
        <v>17160600</v>
      </c>
      <c r="R32" s="265"/>
      <c r="S32" s="266"/>
    </row>
    <row r="33" spans="1:19" s="267" customFormat="1" ht="18" customHeight="1">
      <c r="A33" s="254"/>
      <c r="B33" s="268"/>
      <c r="C33" s="578"/>
      <c r="D33" s="270"/>
      <c r="E33" s="270"/>
      <c r="F33" s="271"/>
      <c r="G33" s="417"/>
      <c r="H33" s="272" t="s">
        <v>463</v>
      </c>
      <c r="I33" s="273">
        <v>2228100</v>
      </c>
      <c r="J33" s="263" t="s">
        <v>66</v>
      </c>
      <c r="K33" s="274">
        <v>1</v>
      </c>
      <c r="L33" s="263" t="s">
        <v>66</v>
      </c>
      <c r="M33" s="275">
        <v>3</v>
      </c>
      <c r="N33" s="263"/>
      <c r="O33" s="276"/>
      <c r="P33" s="263" t="s">
        <v>361</v>
      </c>
      <c r="Q33" s="277">
        <f t="shared" si="0"/>
        <v>6684300</v>
      </c>
      <c r="R33" s="265"/>
      <c r="S33" s="266"/>
    </row>
    <row r="34" spans="1:19" s="267" customFormat="1" ht="18" customHeight="1">
      <c r="A34" s="254"/>
      <c r="B34" s="268"/>
      <c r="C34" s="578"/>
      <c r="D34" s="270"/>
      <c r="E34" s="270"/>
      <c r="F34" s="271"/>
      <c r="G34" s="417"/>
      <c r="H34" s="272" t="s">
        <v>373</v>
      </c>
      <c r="I34" s="273">
        <v>2121000</v>
      </c>
      <c r="J34" s="263" t="s">
        <v>66</v>
      </c>
      <c r="K34" s="274">
        <v>1</v>
      </c>
      <c r="L34" s="263" t="s">
        <v>66</v>
      </c>
      <c r="M34" s="275">
        <v>12</v>
      </c>
      <c r="N34" s="263"/>
      <c r="O34" s="276"/>
      <c r="P34" s="263" t="s">
        <v>1</v>
      </c>
      <c r="Q34" s="277">
        <f t="shared" si="0"/>
        <v>25452000</v>
      </c>
      <c r="R34" s="265"/>
      <c r="S34" s="266"/>
    </row>
    <row r="35" spans="1:19" s="267" customFormat="1" ht="18" customHeight="1">
      <c r="A35" s="254"/>
      <c r="B35" s="268"/>
      <c r="C35" s="578"/>
      <c r="D35" s="270"/>
      <c r="E35" s="270"/>
      <c r="F35" s="271"/>
      <c r="G35" s="417"/>
      <c r="H35" s="272" t="s">
        <v>461</v>
      </c>
      <c r="I35" s="273">
        <v>2127700</v>
      </c>
      <c r="J35" s="263" t="s">
        <v>66</v>
      </c>
      <c r="K35" s="274">
        <v>1</v>
      </c>
      <c r="L35" s="263" t="s">
        <v>66</v>
      </c>
      <c r="M35" s="275">
        <v>12</v>
      </c>
      <c r="N35" s="263"/>
      <c r="O35" s="276"/>
      <c r="P35" s="263" t="s">
        <v>1</v>
      </c>
      <c r="Q35" s="277">
        <f t="shared" si="0"/>
        <v>25532400</v>
      </c>
      <c r="R35" s="265"/>
      <c r="S35" s="266"/>
    </row>
    <row r="36" spans="1:19" s="267" customFormat="1" ht="18" customHeight="1">
      <c r="A36" s="254"/>
      <c r="B36" s="268"/>
      <c r="C36" s="578"/>
      <c r="D36" s="270"/>
      <c r="E36" s="270"/>
      <c r="F36" s="271"/>
      <c r="G36" s="417"/>
      <c r="H36" s="272" t="s">
        <v>375</v>
      </c>
      <c r="I36" s="273">
        <v>2054567</v>
      </c>
      <c r="J36" s="263" t="s">
        <v>66</v>
      </c>
      <c r="K36" s="274">
        <v>1</v>
      </c>
      <c r="L36" s="263" t="s">
        <v>66</v>
      </c>
      <c r="M36" s="275">
        <v>12</v>
      </c>
      <c r="N36" s="263"/>
      <c r="O36" s="276"/>
      <c r="P36" s="263" t="s">
        <v>1</v>
      </c>
      <c r="Q36" s="277">
        <f>ROUNDDOWN(I36*M36*K36,-1)</f>
        <v>24654800</v>
      </c>
      <c r="R36" s="265"/>
      <c r="S36" s="266"/>
    </row>
    <row r="37" spans="1:19" s="267" customFormat="1" ht="18" customHeight="1">
      <c r="A37" s="254"/>
      <c r="B37" s="268"/>
      <c r="C37" s="578"/>
      <c r="D37" s="270"/>
      <c r="E37" s="270"/>
      <c r="F37" s="271"/>
      <c r="G37" s="417"/>
      <c r="H37" s="272" t="s">
        <v>464</v>
      </c>
      <c r="I37" s="273">
        <v>2042300</v>
      </c>
      <c r="J37" s="263" t="s">
        <v>66</v>
      </c>
      <c r="K37" s="274">
        <v>1</v>
      </c>
      <c r="L37" s="263" t="s">
        <v>66</v>
      </c>
      <c r="M37" s="275">
        <v>12</v>
      </c>
      <c r="N37" s="263"/>
      <c r="O37" s="276"/>
      <c r="P37" s="263" t="s">
        <v>1</v>
      </c>
      <c r="Q37" s="277">
        <f>ROUNDDOWN(I37*M37*K37,-1)</f>
        <v>24507600</v>
      </c>
      <c r="R37" s="265"/>
      <c r="S37" s="266"/>
    </row>
    <row r="38" spans="1:19" s="267" customFormat="1" ht="18" customHeight="1">
      <c r="A38" s="254"/>
      <c r="B38" s="268"/>
      <c r="C38" s="578"/>
      <c r="D38" s="270"/>
      <c r="E38" s="270"/>
      <c r="F38" s="271"/>
      <c r="G38" s="417"/>
      <c r="H38" s="272" t="s">
        <v>375</v>
      </c>
      <c r="I38" s="273">
        <v>1987100</v>
      </c>
      <c r="J38" s="263" t="s">
        <v>66</v>
      </c>
      <c r="K38" s="274">
        <v>1</v>
      </c>
      <c r="L38" s="263" t="s">
        <v>66</v>
      </c>
      <c r="M38" s="275">
        <v>12</v>
      </c>
      <c r="N38" s="263"/>
      <c r="O38" s="276"/>
      <c r="P38" s="263" t="s">
        <v>1</v>
      </c>
      <c r="Q38" s="277">
        <f t="shared" ref="Q38:Q41" si="1">ROUNDDOWN(I38*M38*K38,-1)</f>
        <v>23845200</v>
      </c>
      <c r="R38" s="265"/>
      <c r="S38" s="266"/>
    </row>
    <row r="39" spans="1:19" s="267" customFormat="1" ht="18" customHeight="1">
      <c r="A39" s="254"/>
      <c r="B39" s="268"/>
      <c r="C39" s="578"/>
      <c r="D39" s="270"/>
      <c r="E39" s="270"/>
      <c r="F39" s="271"/>
      <c r="G39" s="417"/>
      <c r="H39" s="272" t="s">
        <v>443</v>
      </c>
      <c r="I39" s="273">
        <v>1822480</v>
      </c>
      <c r="J39" s="263" t="s">
        <v>66</v>
      </c>
      <c r="K39" s="274">
        <v>1</v>
      </c>
      <c r="L39" s="263" t="s">
        <v>66</v>
      </c>
      <c r="M39" s="275">
        <v>10</v>
      </c>
      <c r="N39" s="263"/>
      <c r="O39" s="276"/>
      <c r="P39" s="263" t="s">
        <v>1</v>
      </c>
      <c r="Q39" s="277">
        <f t="shared" si="1"/>
        <v>18224800</v>
      </c>
      <c r="R39" s="265"/>
      <c r="S39" s="266"/>
    </row>
    <row r="40" spans="1:19" s="267" customFormat="1" ht="18" customHeight="1">
      <c r="A40" s="254"/>
      <c r="B40" s="268"/>
      <c r="C40" s="578"/>
      <c r="D40" s="270"/>
      <c r="E40" s="270"/>
      <c r="F40" s="271"/>
      <c r="G40" s="417"/>
      <c r="H40" s="272" t="s">
        <v>362</v>
      </c>
      <c r="I40" s="273">
        <v>1625250</v>
      </c>
      <c r="J40" s="263" t="s">
        <v>66</v>
      </c>
      <c r="K40" s="274">
        <v>2</v>
      </c>
      <c r="L40" s="263" t="s">
        <v>66</v>
      </c>
      <c r="M40" s="275">
        <v>12</v>
      </c>
      <c r="N40" s="263"/>
      <c r="O40" s="276"/>
      <c r="P40" s="263" t="s">
        <v>1</v>
      </c>
      <c r="Q40" s="277">
        <f t="shared" si="1"/>
        <v>39006000</v>
      </c>
      <c r="R40" s="265"/>
      <c r="S40" s="266"/>
    </row>
    <row r="41" spans="1:19" s="267" customFormat="1" ht="18" customHeight="1">
      <c r="A41" s="254"/>
      <c r="B41" s="268"/>
      <c r="C41" s="578"/>
      <c r="D41" s="270"/>
      <c r="E41" s="270"/>
      <c r="F41" s="271"/>
      <c r="G41" s="417"/>
      <c r="H41" s="272" t="s">
        <v>363</v>
      </c>
      <c r="I41" s="273">
        <v>264788.59999999998</v>
      </c>
      <c r="J41" s="263" t="s">
        <v>66</v>
      </c>
      <c r="K41" s="274">
        <v>5</v>
      </c>
      <c r="L41" s="263" t="s">
        <v>66</v>
      </c>
      <c r="M41" s="275">
        <v>10</v>
      </c>
      <c r="N41" s="263"/>
      <c r="O41" s="276"/>
      <c r="P41" s="263" t="s">
        <v>1</v>
      </c>
      <c r="Q41" s="277">
        <f t="shared" si="1"/>
        <v>13239430</v>
      </c>
      <c r="R41" s="265"/>
      <c r="S41" s="266"/>
    </row>
    <row r="42" spans="1:19" s="281" customFormat="1" ht="18" customHeight="1">
      <c r="A42" s="254"/>
      <c r="B42" s="268"/>
      <c r="C42" s="541" t="s">
        <v>78</v>
      </c>
      <c r="D42" s="257">
        <f>ROUND((261710210/1000),0)</f>
        <v>261710</v>
      </c>
      <c r="E42" s="257">
        <f>ROUND(($Q$42/1000),0)</f>
        <v>180723</v>
      </c>
      <c r="F42" s="258">
        <f>E42-D42</f>
        <v>-80987</v>
      </c>
      <c r="G42" s="414">
        <f>F42/D42</f>
        <v>-0.30945321157005845</v>
      </c>
      <c r="H42" s="259" t="s">
        <v>67</v>
      </c>
      <c r="I42" s="279"/>
      <c r="J42" s="280"/>
      <c r="K42" s="280"/>
      <c r="L42" s="280"/>
      <c r="M42" s="280"/>
      <c r="N42" s="280"/>
      <c r="O42" s="280"/>
      <c r="P42" s="280"/>
      <c r="Q42" s="264">
        <f>SUM(Q43:Q75)</f>
        <v>180723340</v>
      </c>
      <c r="R42" s="265"/>
    </row>
    <row r="43" spans="1:19" s="281" customFormat="1" ht="18" customHeight="1">
      <c r="A43" s="254"/>
      <c r="B43" s="268"/>
      <c r="C43" s="539"/>
      <c r="D43" s="269"/>
      <c r="E43" s="270"/>
      <c r="F43" s="271"/>
      <c r="G43" s="415"/>
      <c r="H43" s="282" t="s">
        <v>159</v>
      </c>
      <c r="I43" s="273"/>
      <c r="J43" s="263"/>
      <c r="K43" s="283"/>
      <c r="L43" s="263"/>
      <c r="M43" s="284"/>
      <c r="N43" s="263"/>
      <c r="O43" s="285"/>
      <c r="P43" s="263"/>
      <c r="Q43" s="277"/>
      <c r="R43" s="278"/>
    </row>
    <row r="44" spans="1:19" s="281" customFormat="1" ht="18" customHeight="1">
      <c r="A44" s="254"/>
      <c r="B44" s="268"/>
      <c r="C44" s="539"/>
      <c r="D44" s="269"/>
      <c r="E44" s="270"/>
      <c r="F44" s="271"/>
      <c r="G44" s="415"/>
      <c r="H44" s="272" t="s">
        <v>365</v>
      </c>
      <c r="I44" s="273">
        <v>3156300</v>
      </c>
      <c r="J44" s="263" t="s">
        <v>19</v>
      </c>
      <c r="K44" s="284">
        <v>1.2</v>
      </c>
      <c r="L44" s="263" t="s">
        <v>19</v>
      </c>
      <c r="M44" s="274">
        <v>1</v>
      </c>
      <c r="N44" s="263"/>
      <c r="O44" s="285"/>
      <c r="P44" s="263" t="s">
        <v>1</v>
      </c>
      <c r="Q44" s="277">
        <f>I44*K44*M44</f>
        <v>3787560</v>
      </c>
      <c r="R44" s="278"/>
      <c r="S44" s="520"/>
    </row>
    <row r="45" spans="1:19" s="281" customFormat="1" ht="18" customHeight="1">
      <c r="A45" s="254"/>
      <c r="B45" s="268"/>
      <c r="C45" s="578"/>
      <c r="D45" s="269"/>
      <c r="E45" s="270"/>
      <c r="F45" s="271"/>
      <c r="G45" s="415"/>
      <c r="H45" s="272" t="s">
        <v>366</v>
      </c>
      <c r="I45" s="273">
        <v>2902500</v>
      </c>
      <c r="J45" s="263" t="s">
        <v>379</v>
      </c>
      <c r="K45" s="284">
        <v>1.2</v>
      </c>
      <c r="L45" s="263" t="s">
        <v>379</v>
      </c>
      <c r="M45" s="274">
        <v>1</v>
      </c>
      <c r="N45" s="263"/>
      <c r="O45" s="285"/>
      <c r="P45" s="263" t="s">
        <v>1</v>
      </c>
      <c r="Q45" s="277">
        <f t="shared" ref="Q45:Q61" si="2">I45*K45*M45</f>
        <v>3483000</v>
      </c>
      <c r="R45" s="278"/>
      <c r="S45" s="520"/>
    </row>
    <row r="46" spans="1:19" s="281" customFormat="1" ht="18" customHeight="1">
      <c r="A46" s="254"/>
      <c r="B46" s="268"/>
      <c r="C46" s="578"/>
      <c r="D46" s="269"/>
      <c r="E46" s="270"/>
      <c r="F46" s="271"/>
      <c r="G46" s="415"/>
      <c r="H46" s="272" t="s">
        <v>367</v>
      </c>
      <c r="I46" s="273">
        <v>2749000</v>
      </c>
      <c r="J46" s="263" t="s">
        <v>19</v>
      </c>
      <c r="K46" s="284">
        <v>1.2</v>
      </c>
      <c r="L46" s="263" t="s">
        <v>19</v>
      </c>
      <c r="M46" s="274">
        <v>1</v>
      </c>
      <c r="N46" s="263"/>
      <c r="O46" s="285"/>
      <c r="P46" s="263" t="s">
        <v>1</v>
      </c>
      <c r="Q46" s="277">
        <f t="shared" si="2"/>
        <v>3298800</v>
      </c>
      <c r="R46" s="278"/>
      <c r="S46" s="520"/>
    </row>
    <row r="47" spans="1:19" s="281" customFormat="1" ht="18" customHeight="1">
      <c r="A47" s="254"/>
      <c r="B47" s="268"/>
      <c r="C47" s="578"/>
      <c r="D47" s="269"/>
      <c r="E47" s="270"/>
      <c r="F47" s="271"/>
      <c r="G47" s="415"/>
      <c r="H47" s="272" t="s">
        <v>368</v>
      </c>
      <c r="I47" s="273">
        <v>3076900</v>
      </c>
      <c r="J47" s="263" t="s">
        <v>19</v>
      </c>
      <c r="K47" s="284">
        <v>1.2</v>
      </c>
      <c r="L47" s="263" t="s">
        <v>19</v>
      </c>
      <c r="M47" s="274">
        <v>2</v>
      </c>
      <c r="N47" s="263"/>
      <c r="O47" s="285"/>
      <c r="P47" s="263" t="s">
        <v>1</v>
      </c>
      <c r="Q47" s="277">
        <f t="shared" si="2"/>
        <v>7384560</v>
      </c>
      <c r="R47" s="278"/>
      <c r="S47" s="520"/>
    </row>
    <row r="48" spans="1:19" s="281" customFormat="1" ht="18" customHeight="1">
      <c r="A48" s="254"/>
      <c r="B48" s="268"/>
      <c r="C48" s="578"/>
      <c r="D48" s="269"/>
      <c r="E48" s="270"/>
      <c r="F48" s="271"/>
      <c r="G48" s="415"/>
      <c r="H48" s="272" t="s">
        <v>371</v>
      </c>
      <c r="I48" s="273">
        <v>2585500</v>
      </c>
      <c r="J48" s="263" t="s">
        <v>19</v>
      </c>
      <c r="K48" s="284">
        <v>1.2</v>
      </c>
      <c r="L48" s="263" t="s">
        <v>19</v>
      </c>
      <c r="M48" s="274">
        <v>1</v>
      </c>
      <c r="N48" s="263"/>
      <c r="O48" s="285"/>
      <c r="P48" s="263" t="s">
        <v>1</v>
      </c>
      <c r="Q48" s="277">
        <f t="shared" si="2"/>
        <v>3102600</v>
      </c>
      <c r="R48" s="278"/>
      <c r="S48" s="520"/>
    </row>
    <row r="49" spans="1:19" s="281" customFormat="1" ht="18" customHeight="1">
      <c r="A49" s="254"/>
      <c r="B49" s="268"/>
      <c r="C49" s="578"/>
      <c r="D49" s="269"/>
      <c r="E49" s="270"/>
      <c r="F49" s="271"/>
      <c r="G49" s="415"/>
      <c r="H49" s="272" t="s">
        <v>369</v>
      </c>
      <c r="I49" s="273">
        <v>2470550</v>
      </c>
      <c r="J49" s="263" t="s">
        <v>19</v>
      </c>
      <c r="K49" s="284">
        <v>1.2</v>
      </c>
      <c r="L49" s="263" t="s">
        <v>19</v>
      </c>
      <c r="M49" s="274">
        <v>1</v>
      </c>
      <c r="N49" s="263"/>
      <c r="O49" s="285"/>
      <c r="P49" s="263" t="s">
        <v>1</v>
      </c>
      <c r="Q49" s="277">
        <f t="shared" si="2"/>
        <v>2964660</v>
      </c>
      <c r="R49" s="278"/>
      <c r="S49" s="520"/>
    </row>
    <row r="50" spans="1:19" s="281" customFormat="1" ht="18" customHeight="1">
      <c r="A50" s="254"/>
      <c r="B50" s="268"/>
      <c r="C50" s="578"/>
      <c r="D50" s="269"/>
      <c r="E50" s="270"/>
      <c r="F50" s="271"/>
      <c r="G50" s="415"/>
      <c r="H50" s="272" t="s">
        <v>370</v>
      </c>
      <c r="I50" s="273">
        <v>2372150</v>
      </c>
      <c r="J50" s="263" t="s">
        <v>66</v>
      </c>
      <c r="K50" s="284">
        <v>1.2</v>
      </c>
      <c r="L50" s="263" t="s">
        <v>66</v>
      </c>
      <c r="M50" s="274">
        <v>1</v>
      </c>
      <c r="N50" s="263"/>
      <c r="O50" s="285"/>
      <c r="P50" s="263" t="s">
        <v>1</v>
      </c>
      <c r="Q50" s="277">
        <f t="shared" si="2"/>
        <v>2846580</v>
      </c>
      <c r="R50" s="278"/>
      <c r="S50" s="520"/>
    </row>
    <row r="51" spans="1:19" s="281" customFormat="1" ht="18" customHeight="1">
      <c r="A51" s="254"/>
      <c r="B51" s="268"/>
      <c r="C51" s="578"/>
      <c r="D51" s="269"/>
      <c r="E51" s="270"/>
      <c r="F51" s="271"/>
      <c r="G51" s="415"/>
      <c r="H51" s="272" t="s">
        <v>372</v>
      </c>
      <c r="I51" s="273">
        <v>2184600</v>
      </c>
      <c r="J51" s="263" t="s">
        <v>19</v>
      </c>
      <c r="K51" s="284">
        <v>1.2</v>
      </c>
      <c r="L51" s="263" t="s">
        <v>19</v>
      </c>
      <c r="M51" s="274">
        <v>2</v>
      </c>
      <c r="N51" s="263"/>
      <c r="O51" s="285"/>
      <c r="P51" s="263" t="s">
        <v>1</v>
      </c>
      <c r="Q51" s="277">
        <f t="shared" si="2"/>
        <v>5243040</v>
      </c>
      <c r="R51" s="278"/>
      <c r="S51" s="520"/>
    </row>
    <row r="52" spans="1:19" s="281" customFormat="1" ht="18" customHeight="1">
      <c r="A52" s="254"/>
      <c r="B52" s="268"/>
      <c r="C52" s="578"/>
      <c r="D52" s="269"/>
      <c r="E52" s="270"/>
      <c r="F52" s="271"/>
      <c r="G52" s="415"/>
      <c r="H52" s="272" t="s">
        <v>378</v>
      </c>
      <c r="I52" s="273">
        <v>2141100</v>
      </c>
      <c r="J52" s="263" t="s">
        <v>379</v>
      </c>
      <c r="K52" s="284">
        <v>1.2</v>
      </c>
      <c r="L52" s="263" t="s">
        <v>379</v>
      </c>
      <c r="M52" s="274">
        <v>1</v>
      </c>
      <c r="N52" s="263"/>
      <c r="O52" s="285"/>
      <c r="P52" s="263" t="s">
        <v>1</v>
      </c>
      <c r="Q52" s="277">
        <f t="shared" si="2"/>
        <v>2569320</v>
      </c>
      <c r="R52" s="278"/>
      <c r="S52" s="520"/>
    </row>
    <row r="53" spans="1:19" s="281" customFormat="1" ht="18" customHeight="1">
      <c r="A53" s="254"/>
      <c r="B53" s="268"/>
      <c r="C53" s="578"/>
      <c r="D53" s="269"/>
      <c r="E53" s="270"/>
      <c r="F53" s="271"/>
      <c r="G53" s="415"/>
      <c r="H53" s="272" t="s">
        <v>373</v>
      </c>
      <c r="I53" s="273">
        <v>2060700</v>
      </c>
      <c r="J53" s="263" t="s">
        <v>19</v>
      </c>
      <c r="K53" s="284">
        <v>1.2</v>
      </c>
      <c r="L53" s="263" t="s">
        <v>19</v>
      </c>
      <c r="M53" s="274">
        <v>4</v>
      </c>
      <c r="N53" s="263"/>
      <c r="O53" s="285"/>
      <c r="P53" s="263" t="s">
        <v>1</v>
      </c>
      <c r="Q53" s="277">
        <f t="shared" si="2"/>
        <v>9891360</v>
      </c>
      <c r="R53" s="278"/>
      <c r="S53" s="520"/>
    </row>
    <row r="54" spans="1:19" s="281" customFormat="1" ht="18" customHeight="1">
      <c r="A54" s="254"/>
      <c r="B54" s="268"/>
      <c r="C54" s="578"/>
      <c r="D54" s="269"/>
      <c r="E54" s="270"/>
      <c r="F54" s="271"/>
      <c r="G54" s="415"/>
      <c r="H54" s="272" t="s">
        <v>373</v>
      </c>
      <c r="I54" s="273">
        <v>2060700</v>
      </c>
      <c r="J54" s="263" t="s">
        <v>19</v>
      </c>
      <c r="K54" s="284">
        <v>1.2</v>
      </c>
      <c r="L54" s="263" t="s">
        <v>19</v>
      </c>
      <c r="M54" s="274">
        <v>2</v>
      </c>
      <c r="N54" s="263"/>
      <c r="O54" s="285"/>
      <c r="P54" s="263" t="s">
        <v>1</v>
      </c>
      <c r="Q54" s="277">
        <f t="shared" si="2"/>
        <v>4945680</v>
      </c>
      <c r="R54" s="278"/>
      <c r="S54" s="520"/>
    </row>
    <row r="55" spans="1:19" s="281" customFormat="1" ht="18" customHeight="1">
      <c r="A55" s="254"/>
      <c r="B55" s="268"/>
      <c r="C55" s="578"/>
      <c r="D55" s="269"/>
      <c r="E55" s="270"/>
      <c r="F55" s="271"/>
      <c r="G55" s="415"/>
      <c r="H55" s="272" t="s">
        <v>374</v>
      </c>
      <c r="I55" s="273">
        <v>2060700</v>
      </c>
      <c r="J55" s="263" t="s">
        <v>19</v>
      </c>
      <c r="K55" s="284">
        <v>1.2</v>
      </c>
      <c r="L55" s="263" t="s">
        <v>19</v>
      </c>
      <c r="M55" s="274">
        <v>1</v>
      </c>
      <c r="N55" s="263"/>
      <c r="O55" s="285"/>
      <c r="P55" s="263" t="s">
        <v>1</v>
      </c>
      <c r="Q55" s="277">
        <f t="shared" si="2"/>
        <v>2472840</v>
      </c>
      <c r="R55" s="278"/>
      <c r="S55" s="520"/>
    </row>
    <row r="56" spans="1:19" s="281" customFormat="1" ht="18" customHeight="1">
      <c r="A56" s="254"/>
      <c r="B56" s="268"/>
      <c r="C56" s="578"/>
      <c r="D56" s="269"/>
      <c r="E56" s="270"/>
      <c r="F56" s="271"/>
      <c r="G56" s="415"/>
      <c r="H56" s="272" t="s">
        <v>375</v>
      </c>
      <c r="I56" s="273">
        <v>2012250</v>
      </c>
      <c r="J56" s="263" t="s">
        <v>19</v>
      </c>
      <c r="K56" s="284">
        <v>1.2</v>
      </c>
      <c r="L56" s="263" t="s">
        <v>19</v>
      </c>
      <c r="M56" s="274">
        <v>2</v>
      </c>
      <c r="N56" s="263"/>
      <c r="O56" s="285"/>
      <c r="P56" s="263" t="s">
        <v>1</v>
      </c>
      <c r="Q56" s="277">
        <f t="shared" si="2"/>
        <v>4829400</v>
      </c>
      <c r="R56" s="278"/>
      <c r="S56" s="520"/>
    </row>
    <row r="57" spans="1:19" s="281" customFormat="1" ht="18" customHeight="1">
      <c r="A57" s="254"/>
      <c r="B57" s="268"/>
      <c r="C57" s="578"/>
      <c r="D57" s="269"/>
      <c r="E57" s="270"/>
      <c r="F57" s="271"/>
      <c r="G57" s="415"/>
      <c r="H57" s="272" t="s">
        <v>375</v>
      </c>
      <c r="I57" s="273">
        <v>1987100</v>
      </c>
      <c r="J57" s="263" t="s">
        <v>19</v>
      </c>
      <c r="K57" s="284">
        <v>1.2</v>
      </c>
      <c r="L57" s="263" t="s">
        <v>19</v>
      </c>
      <c r="M57" s="274">
        <v>2</v>
      </c>
      <c r="N57" s="263"/>
      <c r="O57" s="285"/>
      <c r="P57" s="263" t="s">
        <v>1</v>
      </c>
      <c r="Q57" s="277">
        <f t="shared" si="2"/>
        <v>4769040</v>
      </c>
      <c r="R57" s="278"/>
      <c r="S57" s="520"/>
    </row>
    <row r="58" spans="1:19" s="281" customFormat="1" ht="18" customHeight="1">
      <c r="A58" s="254"/>
      <c r="B58" s="268"/>
      <c r="C58" s="578"/>
      <c r="D58" s="269"/>
      <c r="E58" s="270"/>
      <c r="F58" s="271"/>
      <c r="G58" s="415"/>
      <c r="H58" s="272" t="s">
        <v>375</v>
      </c>
      <c r="I58" s="273">
        <v>1987100</v>
      </c>
      <c r="J58" s="263" t="s">
        <v>19</v>
      </c>
      <c r="K58" s="284">
        <v>1.2</v>
      </c>
      <c r="L58" s="263" t="s">
        <v>19</v>
      </c>
      <c r="M58" s="274">
        <v>1</v>
      </c>
      <c r="N58" s="263"/>
      <c r="O58" s="285"/>
      <c r="P58" s="263" t="s">
        <v>1</v>
      </c>
      <c r="Q58" s="277">
        <f t="shared" si="2"/>
        <v>2384520</v>
      </c>
      <c r="R58" s="278"/>
      <c r="S58" s="520"/>
    </row>
    <row r="59" spans="1:19" s="281" customFormat="1" ht="18" customHeight="1">
      <c r="A59" s="254"/>
      <c r="B59" s="268"/>
      <c r="C59" s="578"/>
      <c r="D59" s="269"/>
      <c r="E59" s="270"/>
      <c r="F59" s="271"/>
      <c r="G59" s="415"/>
      <c r="H59" s="272" t="s">
        <v>376</v>
      </c>
      <c r="I59" s="273">
        <v>1913400</v>
      </c>
      <c r="J59" s="263" t="s">
        <v>19</v>
      </c>
      <c r="K59" s="284">
        <v>1.2</v>
      </c>
      <c r="L59" s="263" t="s">
        <v>19</v>
      </c>
      <c r="M59" s="274">
        <v>1</v>
      </c>
      <c r="N59" s="263"/>
      <c r="O59" s="285"/>
      <c r="P59" s="263" t="s">
        <v>1</v>
      </c>
      <c r="Q59" s="277">
        <f t="shared" si="2"/>
        <v>2296080</v>
      </c>
      <c r="R59" s="278"/>
      <c r="S59" s="520"/>
    </row>
    <row r="60" spans="1:19" s="281" customFormat="1" ht="18" customHeight="1">
      <c r="A60" s="254"/>
      <c r="B60" s="268"/>
      <c r="C60" s="578"/>
      <c r="D60" s="269"/>
      <c r="E60" s="270"/>
      <c r="F60" s="271"/>
      <c r="G60" s="415"/>
      <c r="H60" s="272" t="s">
        <v>377</v>
      </c>
      <c r="I60" s="273">
        <v>1883400</v>
      </c>
      <c r="J60" s="263" t="s">
        <v>19</v>
      </c>
      <c r="K60" s="284">
        <v>1.2</v>
      </c>
      <c r="L60" s="263" t="s">
        <v>19</v>
      </c>
      <c r="M60" s="274">
        <v>2</v>
      </c>
      <c r="N60" s="263"/>
      <c r="O60" s="285"/>
      <c r="P60" s="263" t="s">
        <v>1</v>
      </c>
      <c r="Q60" s="277">
        <f t="shared" si="2"/>
        <v>4520160</v>
      </c>
      <c r="R60" s="278"/>
      <c r="S60" s="520"/>
    </row>
    <row r="61" spans="1:19" s="281" customFormat="1" ht="18" customHeight="1">
      <c r="A61" s="254"/>
      <c r="B61" s="268"/>
      <c r="C61" s="578"/>
      <c r="D61" s="269"/>
      <c r="E61" s="270"/>
      <c r="F61" s="271"/>
      <c r="G61" s="415"/>
      <c r="H61" s="272" t="s">
        <v>377</v>
      </c>
      <c r="I61" s="273">
        <v>1883400</v>
      </c>
      <c r="J61" s="263" t="s">
        <v>19</v>
      </c>
      <c r="K61" s="284">
        <v>1.2</v>
      </c>
      <c r="L61" s="263" t="s">
        <v>19</v>
      </c>
      <c r="M61" s="274">
        <v>1</v>
      </c>
      <c r="N61" s="263"/>
      <c r="O61" s="285"/>
      <c r="P61" s="263" t="s">
        <v>1</v>
      </c>
      <c r="Q61" s="277">
        <f t="shared" si="2"/>
        <v>2260080</v>
      </c>
      <c r="R61" s="278"/>
      <c r="S61" s="520"/>
    </row>
    <row r="62" spans="1:19" s="281" customFormat="1" ht="18" customHeight="1">
      <c r="A62" s="254"/>
      <c r="B62" s="268"/>
      <c r="C62" s="539"/>
      <c r="D62" s="269"/>
      <c r="E62" s="270"/>
      <c r="F62" s="271"/>
      <c r="G62" s="415"/>
      <c r="H62" s="286" t="s">
        <v>160</v>
      </c>
      <c r="I62" s="273">
        <v>220000</v>
      </c>
      <c r="J62" s="263" t="s">
        <v>66</v>
      </c>
      <c r="K62" s="274">
        <v>1</v>
      </c>
      <c r="L62" s="263" t="s">
        <v>66</v>
      </c>
      <c r="M62" s="275">
        <v>12</v>
      </c>
      <c r="N62" s="263"/>
      <c r="O62" s="284"/>
      <c r="P62" s="263" t="s">
        <v>1</v>
      </c>
      <c r="Q62" s="277">
        <f t="shared" ref="Q62:Q73" si="3">I62*K62*M62</f>
        <v>2640000</v>
      </c>
      <c r="R62" s="278"/>
      <c r="S62" s="520"/>
    </row>
    <row r="63" spans="1:19" s="281" customFormat="1" ht="18" customHeight="1">
      <c r="A63" s="254"/>
      <c r="B63" s="268"/>
      <c r="C63" s="539"/>
      <c r="D63" s="269"/>
      <c r="E63" s="270"/>
      <c r="F63" s="271"/>
      <c r="G63" s="415"/>
      <c r="H63" s="286"/>
      <c r="I63" s="273">
        <v>140000</v>
      </c>
      <c r="J63" s="263" t="s">
        <v>66</v>
      </c>
      <c r="K63" s="274">
        <v>1</v>
      </c>
      <c r="L63" s="263" t="s">
        <v>66</v>
      </c>
      <c r="M63" s="275">
        <v>12</v>
      </c>
      <c r="N63" s="263"/>
      <c r="O63" s="284"/>
      <c r="P63" s="263" t="s">
        <v>1</v>
      </c>
      <c r="Q63" s="277">
        <f t="shared" si="3"/>
        <v>1680000</v>
      </c>
      <c r="R63" s="278"/>
    </row>
    <row r="64" spans="1:19" s="281" customFormat="1" ht="18" customHeight="1">
      <c r="A64" s="254"/>
      <c r="B64" s="268"/>
      <c r="C64" s="539"/>
      <c r="D64" s="269"/>
      <c r="E64" s="270"/>
      <c r="F64" s="271"/>
      <c r="G64" s="415"/>
      <c r="H64" s="286"/>
      <c r="I64" s="273">
        <v>120000</v>
      </c>
      <c r="J64" s="263" t="s">
        <v>66</v>
      </c>
      <c r="K64" s="274">
        <v>4</v>
      </c>
      <c r="L64" s="263" t="s">
        <v>66</v>
      </c>
      <c r="M64" s="275">
        <v>12</v>
      </c>
      <c r="N64" s="263"/>
      <c r="O64" s="284"/>
      <c r="P64" s="263" t="s">
        <v>1</v>
      </c>
      <c r="Q64" s="277">
        <f t="shared" si="3"/>
        <v>5760000</v>
      </c>
      <c r="R64" s="278"/>
    </row>
    <row r="65" spans="1:18" s="281" customFormat="1" ht="18" customHeight="1">
      <c r="A65" s="254"/>
      <c r="B65" s="268"/>
      <c r="C65" s="539"/>
      <c r="D65" s="269"/>
      <c r="E65" s="270"/>
      <c r="F65" s="271"/>
      <c r="G65" s="415"/>
      <c r="H65" s="286"/>
      <c r="I65" s="273">
        <v>120000</v>
      </c>
      <c r="J65" s="263" t="s">
        <v>66</v>
      </c>
      <c r="K65" s="274">
        <v>2</v>
      </c>
      <c r="L65" s="263" t="s">
        <v>66</v>
      </c>
      <c r="M65" s="275">
        <v>10</v>
      </c>
      <c r="N65" s="263"/>
      <c r="O65" s="284"/>
      <c r="P65" s="263" t="s">
        <v>1</v>
      </c>
      <c r="Q65" s="277">
        <f t="shared" si="3"/>
        <v>2400000</v>
      </c>
      <c r="R65" s="278"/>
    </row>
    <row r="66" spans="1:18" s="281" customFormat="1" ht="18" customHeight="1">
      <c r="A66" s="254"/>
      <c r="B66" s="268"/>
      <c r="C66" s="578"/>
      <c r="D66" s="269"/>
      <c r="E66" s="270"/>
      <c r="F66" s="271"/>
      <c r="G66" s="415"/>
      <c r="H66" s="286"/>
      <c r="I66" s="273">
        <v>120000</v>
      </c>
      <c r="J66" s="263" t="s">
        <v>66</v>
      </c>
      <c r="K66" s="274">
        <v>1</v>
      </c>
      <c r="L66" s="263" t="s">
        <v>66</v>
      </c>
      <c r="M66" s="275">
        <v>1</v>
      </c>
      <c r="N66" s="263"/>
      <c r="O66" s="284"/>
      <c r="P66" s="263" t="s">
        <v>1</v>
      </c>
      <c r="Q66" s="277">
        <f t="shared" ref="Q66" si="4">I66*K66*M66</f>
        <v>120000</v>
      </c>
      <c r="R66" s="278"/>
    </row>
    <row r="67" spans="1:18" s="281" customFormat="1" ht="18" customHeight="1">
      <c r="A67" s="254"/>
      <c r="B67" s="268"/>
      <c r="C67" s="539"/>
      <c r="D67" s="269"/>
      <c r="E67" s="270"/>
      <c r="F67" s="271"/>
      <c r="G67" s="415"/>
      <c r="H67" s="286"/>
      <c r="I67" s="273">
        <v>100000</v>
      </c>
      <c r="J67" s="263" t="s">
        <v>66</v>
      </c>
      <c r="K67" s="274">
        <v>2</v>
      </c>
      <c r="L67" s="263" t="s">
        <v>66</v>
      </c>
      <c r="M67" s="275">
        <v>12</v>
      </c>
      <c r="N67" s="263"/>
      <c r="O67" s="284"/>
      <c r="P67" s="263" t="s">
        <v>1</v>
      </c>
      <c r="Q67" s="277">
        <f t="shared" si="3"/>
        <v>2400000</v>
      </c>
      <c r="R67" s="278"/>
    </row>
    <row r="68" spans="1:18" s="281" customFormat="1" ht="18" customHeight="1">
      <c r="A68" s="254"/>
      <c r="B68" s="268"/>
      <c r="C68" s="539"/>
      <c r="D68" s="269"/>
      <c r="E68" s="270"/>
      <c r="F68" s="271"/>
      <c r="G68" s="416"/>
      <c r="H68" s="286"/>
      <c r="I68" s="273">
        <v>60000</v>
      </c>
      <c r="J68" s="263" t="s">
        <v>66</v>
      </c>
      <c r="K68" s="274">
        <v>2</v>
      </c>
      <c r="L68" s="263" t="s">
        <v>66</v>
      </c>
      <c r="M68" s="275">
        <v>11</v>
      </c>
      <c r="N68" s="263"/>
      <c r="O68" s="284"/>
      <c r="P68" s="263" t="s">
        <v>1</v>
      </c>
      <c r="Q68" s="277">
        <f t="shared" si="3"/>
        <v>1320000</v>
      </c>
      <c r="R68" s="278"/>
    </row>
    <row r="69" spans="1:18" s="281" customFormat="1" ht="18" customHeight="1">
      <c r="A69" s="254"/>
      <c r="B69" s="268"/>
      <c r="C69" s="539"/>
      <c r="D69" s="269"/>
      <c r="E69" s="270"/>
      <c r="F69" s="271"/>
      <c r="G69" s="415"/>
      <c r="H69" s="286"/>
      <c r="I69" s="273">
        <v>40000</v>
      </c>
      <c r="J69" s="263" t="s">
        <v>66</v>
      </c>
      <c r="K69" s="274">
        <v>2</v>
      </c>
      <c r="L69" s="263" t="s">
        <v>66</v>
      </c>
      <c r="M69" s="275">
        <v>12</v>
      </c>
      <c r="N69" s="263"/>
      <c r="O69" s="284"/>
      <c r="P69" s="263" t="s">
        <v>1</v>
      </c>
      <c r="Q69" s="277">
        <f t="shared" si="3"/>
        <v>960000</v>
      </c>
      <c r="R69" s="278"/>
    </row>
    <row r="70" spans="1:18" s="281" customFormat="1" ht="18" customHeight="1">
      <c r="A70" s="254"/>
      <c r="B70" s="268"/>
      <c r="C70" s="539"/>
      <c r="D70" s="269"/>
      <c r="E70" s="270"/>
      <c r="F70" s="271"/>
      <c r="G70" s="415"/>
      <c r="H70" s="286"/>
      <c r="I70" s="273">
        <v>40000</v>
      </c>
      <c r="J70" s="263" t="s">
        <v>66</v>
      </c>
      <c r="K70" s="274">
        <v>1</v>
      </c>
      <c r="L70" s="263" t="s">
        <v>66</v>
      </c>
      <c r="M70" s="275">
        <v>11</v>
      </c>
      <c r="N70" s="263"/>
      <c r="O70" s="284"/>
      <c r="P70" s="263" t="s">
        <v>1</v>
      </c>
      <c r="Q70" s="277">
        <f t="shared" si="3"/>
        <v>440000</v>
      </c>
      <c r="R70" s="278"/>
    </row>
    <row r="71" spans="1:18" s="281" customFormat="1" ht="18" customHeight="1">
      <c r="A71" s="254"/>
      <c r="B71" s="268"/>
      <c r="C71" s="539"/>
      <c r="D71" s="269"/>
      <c r="E71" s="270"/>
      <c r="F71" s="271"/>
      <c r="G71" s="415"/>
      <c r="H71" s="286"/>
      <c r="I71" s="273">
        <v>20000</v>
      </c>
      <c r="J71" s="263" t="s">
        <v>66</v>
      </c>
      <c r="K71" s="274">
        <v>2</v>
      </c>
      <c r="L71" s="263" t="s">
        <v>66</v>
      </c>
      <c r="M71" s="275">
        <v>12</v>
      </c>
      <c r="N71" s="263"/>
      <c r="O71" s="284"/>
      <c r="P71" s="263" t="s">
        <v>1</v>
      </c>
      <c r="Q71" s="277">
        <f t="shared" si="3"/>
        <v>480000</v>
      </c>
      <c r="R71" s="278"/>
    </row>
    <row r="72" spans="1:18" s="281" customFormat="1" ht="18" customHeight="1">
      <c r="A72" s="254"/>
      <c r="B72" s="268"/>
      <c r="C72" s="539"/>
      <c r="D72" s="269"/>
      <c r="E72" s="270"/>
      <c r="F72" s="271"/>
      <c r="G72" s="415"/>
      <c r="H72" s="286"/>
      <c r="I72" s="273">
        <v>20000</v>
      </c>
      <c r="J72" s="263" t="s">
        <v>66</v>
      </c>
      <c r="K72" s="274">
        <v>1</v>
      </c>
      <c r="L72" s="263" t="s">
        <v>66</v>
      </c>
      <c r="M72" s="275">
        <v>9</v>
      </c>
      <c r="N72" s="263"/>
      <c r="O72" s="284"/>
      <c r="P72" s="263" t="s">
        <v>1</v>
      </c>
      <c r="Q72" s="277">
        <f t="shared" si="3"/>
        <v>180000</v>
      </c>
      <c r="R72" s="278"/>
    </row>
    <row r="73" spans="1:18" s="281" customFormat="1" ht="18" customHeight="1">
      <c r="A73" s="254"/>
      <c r="B73" s="268"/>
      <c r="C73" s="539"/>
      <c r="D73" s="269"/>
      <c r="E73" s="270"/>
      <c r="F73" s="271"/>
      <c r="G73" s="415"/>
      <c r="H73" s="286"/>
      <c r="I73" s="273">
        <v>25160</v>
      </c>
      <c r="J73" s="263" t="s">
        <v>66</v>
      </c>
      <c r="K73" s="274">
        <v>1</v>
      </c>
      <c r="L73" s="263" t="s">
        <v>66</v>
      </c>
      <c r="M73" s="275">
        <v>1</v>
      </c>
      <c r="N73" s="263"/>
      <c r="O73" s="284"/>
      <c r="P73" s="263" t="s">
        <v>1</v>
      </c>
      <c r="Q73" s="277">
        <f t="shared" si="3"/>
        <v>25160</v>
      </c>
      <c r="R73" s="278"/>
    </row>
    <row r="74" spans="1:18" s="281" customFormat="1" ht="18" customHeight="1">
      <c r="A74" s="254"/>
      <c r="B74" s="268"/>
      <c r="C74" s="539"/>
      <c r="D74" s="269"/>
      <c r="E74" s="270"/>
      <c r="F74" s="271"/>
      <c r="G74" s="415"/>
      <c r="H74" s="286" t="s">
        <v>380</v>
      </c>
      <c r="I74" s="273">
        <v>109791.67</v>
      </c>
      <c r="J74" s="263" t="s">
        <v>66</v>
      </c>
      <c r="K74" s="274">
        <v>24</v>
      </c>
      <c r="L74" s="263" t="s">
        <v>66</v>
      </c>
      <c r="M74" s="275">
        <v>12</v>
      </c>
      <c r="N74" s="263"/>
      <c r="O74" s="284"/>
      <c r="P74" s="263" t="s">
        <v>1</v>
      </c>
      <c r="Q74" s="277">
        <f>ROUND(I74*K74*M74,-1)</f>
        <v>31620000</v>
      </c>
      <c r="R74" s="278"/>
    </row>
    <row r="75" spans="1:18" s="281" customFormat="1" ht="18" customHeight="1">
      <c r="A75" s="254"/>
      <c r="B75" s="268"/>
      <c r="C75" s="294"/>
      <c r="D75" s="269"/>
      <c r="E75" s="270"/>
      <c r="F75" s="271"/>
      <c r="G75" s="417"/>
      <c r="H75" s="286" t="s">
        <v>381</v>
      </c>
      <c r="I75" s="273">
        <v>66936779</v>
      </c>
      <c r="J75" s="263" t="s">
        <v>0</v>
      </c>
      <c r="K75" s="295">
        <v>4.7846889952153108E-3</v>
      </c>
      <c r="L75" s="263" t="s">
        <v>0</v>
      </c>
      <c r="M75" s="296">
        <v>1.5</v>
      </c>
      <c r="N75" s="263" t="s">
        <v>0</v>
      </c>
      <c r="O75" s="297">
        <v>120</v>
      </c>
      <c r="P75" s="263" t="s">
        <v>1</v>
      </c>
      <c r="Q75" s="277">
        <f>ROUND((I75*K75*M75*O75),-1)</f>
        <v>57648900</v>
      </c>
      <c r="R75" s="278"/>
    </row>
    <row r="76" spans="1:18" s="281" customFormat="1" ht="18" customHeight="1">
      <c r="A76" s="254"/>
      <c r="B76" s="268"/>
      <c r="C76" s="541" t="s">
        <v>364</v>
      </c>
      <c r="D76" s="257">
        <f>ROUND((84746070/1000),0)</f>
        <v>84746</v>
      </c>
      <c r="E76" s="257">
        <f>ROUND(($Q$76/1000),0)</f>
        <v>80631</v>
      </c>
      <c r="F76" s="258">
        <f>E76-D76</f>
        <v>-4115</v>
      </c>
      <c r="G76" s="414">
        <f>F76/D76</f>
        <v>-4.8556864040780683E-2</v>
      </c>
      <c r="H76" s="595" t="s">
        <v>31</v>
      </c>
      <c r="I76" s="279"/>
      <c r="J76" s="261"/>
      <c r="K76" s="299"/>
      <c r="L76" s="261"/>
      <c r="M76" s="300"/>
      <c r="N76" s="261"/>
      <c r="O76" s="301"/>
      <c r="P76" s="261"/>
      <c r="Q76" s="264">
        <f>SUM(Q77:Q77)</f>
        <v>80630990</v>
      </c>
      <c r="R76" s="265"/>
    </row>
    <row r="77" spans="1:18" s="281" customFormat="1" ht="18" customHeight="1">
      <c r="A77" s="254"/>
      <c r="B77" s="268"/>
      <c r="C77" s="539"/>
      <c r="D77" s="302"/>
      <c r="E77" s="270"/>
      <c r="F77" s="271"/>
      <c r="G77" s="417"/>
      <c r="H77" s="528" t="s">
        <v>382</v>
      </c>
      <c r="I77" s="584">
        <v>967571850</v>
      </c>
      <c r="J77" s="331" t="s">
        <v>0</v>
      </c>
      <c r="K77" s="596">
        <v>8.3333333333333329E-2</v>
      </c>
      <c r="L77" s="331"/>
      <c r="M77" s="538"/>
      <c r="N77" s="331"/>
      <c r="O77" s="586"/>
      <c r="P77" s="331" t="s">
        <v>1</v>
      </c>
      <c r="Q77" s="371">
        <f>ROUND(I77*K77,-1)</f>
        <v>80630990</v>
      </c>
      <c r="R77" s="278"/>
    </row>
    <row r="78" spans="1:18" s="281" customFormat="1" ht="18" customHeight="1">
      <c r="A78" s="254"/>
      <c r="B78" s="268"/>
      <c r="C78" s="541" t="s">
        <v>358</v>
      </c>
      <c r="D78" s="257">
        <f>ROUND((84413190/1000),0)</f>
        <v>84413</v>
      </c>
      <c r="E78" s="257">
        <f>ROUND((Q78/1000),0)</f>
        <v>101073</v>
      </c>
      <c r="F78" s="258">
        <f>E78-D78</f>
        <v>16660</v>
      </c>
      <c r="G78" s="414">
        <f>F78/D78</f>
        <v>0.19736296542001824</v>
      </c>
      <c r="H78" s="311" t="s">
        <v>360</v>
      </c>
      <c r="I78" s="312"/>
      <c r="J78" s="263"/>
      <c r="K78" s="274"/>
      <c r="L78" s="263"/>
      <c r="M78" s="293"/>
      <c r="N78" s="263"/>
      <c r="O78" s="284"/>
      <c r="P78" s="263"/>
      <c r="Q78" s="313">
        <f>SUM(Q80:Q84)</f>
        <v>101073000</v>
      </c>
      <c r="R78" s="265"/>
    </row>
    <row r="79" spans="1:18" s="281" customFormat="1" ht="18" customHeight="1">
      <c r="A79" s="254"/>
      <c r="B79" s="268"/>
      <c r="C79" s="539"/>
      <c r="D79" s="302"/>
      <c r="E79" s="270"/>
      <c r="F79" s="271"/>
      <c r="G79" s="417"/>
      <c r="H79" s="286" t="s">
        <v>139</v>
      </c>
      <c r="I79" s="273"/>
      <c r="J79" s="314"/>
      <c r="K79" s="274"/>
      <c r="L79" s="263"/>
      <c r="M79" s="285"/>
      <c r="N79" s="263"/>
      <c r="O79" s="284"/>
      <c r="P79" s="263"/>
      <c r="Q79" s="277"/>
      <c r="R79" s="278"/>
    </row>
    <row r="80" spans="1:18" s="281" customFormat="1" ht="18" customHeight="1">
      <c r="A80" s="254"/>
      <c r="B80" s="268"/>
      <c r="C80" s="539"/>
      <c r="D80" s="302"/>
      <c r="E80" s="270"/>
      <c r="F80" s="271"/>
      <c r="G80" s="417"/>
      <c r="H80" s="272" t="s">
        <v>135</v>
      </c>
      <c r="I80" s="273">
        <v>975075210</v>
      </c>
      <c r="J80" s="263" t="s">
        <v>0</v>
      </c>
      <c r="K80" s="315">
        <v>4.4999999999999998E-2</v>
      </c>
      <c r="L80" s="263"/>
      <c r="M80" s="293"/>
      <c r="N80" s="263"/>
      <c r="O80" s="284"/>
      <c r="P80" s="263" t="s">
        <v>1</v>
      </c>
      <c r="Q80" s="277">
        <v>45117090</v>
      </c>
      <c r="R80" s="278"/>
    </row>
    <row r="81" spans="1:18" s="281" customFormat="1" ht="18" customHeight="1">
      <c r="A81" s="254"/>
      <c r="B81" s="268"/>
      <c r="C81" s="539"/>
      <c r="D81" s="302"/>
      <c r="E81" s="270"/>
      <c r="F81" s="271"/>
      <c r="G81" s="419"/>
      <c r="H81" s="272" t="s">
        <v>133</v>
      </c>
      <c r="I81" s="273">
        <f>I80</f>
        <v>975075210</v>
      </c>
      <c r="J81" s="263" t="s">
        <v>0</v>
      </c>
      <c r="K81" s="316">
        <v>3.3349999999999998E-2</v>
      </c>
      <c r="L81" s="263"/>
      <c r="M81" s="293"/>
      <c r="N81" s="263"/>
      <c r="O81" s="284"/>
      <c r="P81" s="263" t="s">
        <v>1</v>
      </c>
      <c r="Q81" s="277">
        <v>31632480</v>
      </c>
      <c r="R81" s="278"/>
    </row>
    <row r="82" spans="1:18" s="281" customFormat="1" ht="18" customHeight="1">
      <c r="A82" s="254"/>
      <c r="B82" s="268"/>
      <c r="C82" s="539"/>
      <c r="D82" s="302"/>
      <c r="E82" s="270"/>
      <c r="F82" s="271"/>
      <c r="G82" s="419"/>
      <c r="H82" s="272" t="s">
        <v>134</v>
      </c>
      <c r="I82" s="273">
        <f>Q81</f>
        <v>31632480</v>
      </c>
      <c r="J82" s="263" t="s">
        <v>0</v>
      </c>
      <c r="K82" s="317">
        <v>0.10249999999999999</v>
      </c>
      <c r="L82" s="263"/>
      <c r="M82" s="293"/>
      <c r="N82" s="263"/>
      <c r="O82" s="284"/>
      <c r="P82" s="263" t="s">
        <v>1</v>
      </c>
      <c r="Q82" s="277">
        <f>ROUNDDOWN((I82*K82),-1)</f>
        <v>3242320</v>
      </c>
      <c r="R82" s="278"/>
    </row>
    <row r="83" spans="1:18" s="281" customFormat="1" ht="18" customHeight="1">
      <c r="A83" s="254"/>
      <c r="B83" s="268"/>
      <c r="C83" s="539"/>
      <c r="D83" s="302"/>
      <c r="E83" s="270"/>
      <c r="F83" s="271"/>
      <c r="G83" s="417"/>
      <c r="H83" s="272" t="s">
        <v>136</v>
      </c>
      <c r="I83" s="273">
        <f>I80</f>
        <v>975075210</v>
      </c>
      <c r="J83" s="263" t="s">
        <v>0</v>
      </c>
      <c r="K83" s="317">
        <v>1.4999999999999999E-2</v>
      </c>
      <c r="L83" s="263"/>
      <c r="M83" s="293"/>
      <c r="N83" s="263"/>
      <c r="O83" s="284"/>
      <c r="P83" s="263" t="s">
        <v>1</v>
      </c>
      <c r="Q83" s="277">
        <v>10941720</v>
      </c>
      <c r="R83" s="278"/>
    </row>
    <row r="84" spans="1:18" s="281" customFormat="1" ht="18" customHeight="1">
      <c r="A84" s="254"/>
      <c r="B84" s="268"/>
      <c r="C84" s="539"/>
      <c r="D84" s="302"/>
      <c r="E84" s="270"/>
      <c r="F84" s="271"/>
      <c r="G84" s="417"/>
      <c r="H84" s="582" t="s">
        <v>137</v>
      </c>
      <c r="I84" s="584">
        <f>I80</f>
        <v>975075210</v>
      </c>
      <c r="J84" s="331" t="s">
        <v>0</v>
      </c>
      <c r="K84" s="585">
        <v>1.01E-2</v>
      </c>
      <c r="L84" s="331"/>
      <c r="M84" s="538"/>
      <c r="N84" s="331"/>
      <c r="O84" s="586"/>
      <c r="P84" s="331" t="s">
        <v>1</v>
      </c>
      <c r="Q84" s="277">
        <v>10139390</v>
      </c>
      <c r="R84" s="278"/>
    </row>
    <row r="85" spans="1:18" s="281" customFormat="1" ht="18" customHeight="1">
      <c r="A85" s="254"/>
      <c r="B85" s="268"/>
      <c r="C85" s="574" t="s">
        <v>359</v>
      </c>
      <c r="D85" s="257">
        <f>ROUND((709000/1000),0)</f>
        <v>709</v>
      </c>
      <c r="E85" s="257">
        <f>ROUND((Q85/1000),0)</f>
        <v>820</v>
      </c>
      <c r="F85" s="258">
        <f>E85-D85</f>
        <v>111</v>
      </c>
      <c r="G85" s="414">
        <f>F85/D85</f>
        <v>0.15655853314527504</v>
      </c>
      <c r="H85" s="311" t="s">
        <v>38</v>
      </c>
      <c r="I85" s="273"/>
      <c r="J85" s="263"/>
      <c r="K85" s="317"/>
      <c r="L85" s="263"/>
      <c r="M85" s="293"/>
      <c r="N85" s="263"/>
      <c r="O85" s="284"/>
      <c r="P85" s="263"/>
      <c r="Q85" s="264">
        <f>SUM(Q86:Q86)</f>
        <v>820000</v>
      </c>
      <c r="R85" s="278"/>
    </row>
    <row r="86" spans="1:18" s="281" customFormat="1" ht="18" customHeight="1">
      <c r="A86" s="254"/>
      <c r="B86" s="268"/>
      <c r="C86" s="539"/>
      <c r="D86" s="302"/>
      <c r="E86" s="270"/>
      <c r="F86" s="271"/>
      <c r="G86" s="417"/>
      <c r="H86" s="286" t="s">
        <v>153</v>
      </c>
      <c r="I86" s="273">
        <v>410000</v>
      </c>
      <c r="J86" s="314" t="s">
        <v>0</v>
      </c>
      <c r="K86" s="318">
        <v>2</v>
      </c>
      <c r="L86" s="263"/>
      <c r="M86" s="293"/>
      <c r="N86" s="263"/>
      <c r="O86" s="284"/>
      <c r="P86" s="263" t="s">
        <v>1</v>
      </c>
      <c r="Q86" s="319">
        <f>I86*K86</f>
        <v>820000</v>
      </c>
      <c r="R86" s="273"/>
    </row>
    <row r="87" spans="1:18" s="281" customFormat="1" ht="18" customHeight="1">
      <c r="A87" s="254"/>
      <c r="B87" s="304" t="s">
        <v>356</v>
      </c>
      <c r="C87" s="305"/>
      <c r="D87" s="306">
        <f>SUM(D88:D91)</f>
        <v>11115</v>
      </c>
      <c r="E87" s="306">
        <f>SUM(E88:E91)</f>
        <v>17025</v>
      </c>
      <c r="F87" s="307">
        <f>E87-D87</f>
        <v>5910</v>
      </c>
      <c r="G87" s="418">
        <f>F87/D87</f>
        <v>0.53171390013495279</v>
      </c>
      <c r="H87" s="308"/>
      <c r="I87" s="309"/>
      <c r="J87" s="309"/>
      <c r="K87" s="309"/>
      <c r="L87" s="309"/>
      <c r="M87" s="309"/>
      <c r="N87" s="309"/>
      <c r="O87" s="309"/>
      <c r="P87" s="309"/>
      <c r="Q87" s="310"/>
      <c r="R87" s="273"/>
    </row>
    <row r="88" spans="1:18" s="281" customFormat="1" ht="18" customHeight="1">
      <c r="A88" s="254"/>
      <c r="B88" s="268"/>
      <c r="C88" s="541" t="s">
        <v>280</v>
      </c>
      <c r="D88" s="257">
        <f>ROUND((10246080/1000),0)</f>
        <v>10246</v>
      </c>
      <c r="E88" s="257">
        <f>ROUND((Q88/1000),0)</f>
        <v>14310</v>
      </c>
      <c r="F88" s="258">
        <f>E88-D88</f>
        <v>4064</v>
      </c>
      <c r="G88" s="420">
        <f>F88/D88</f>
        <v>0.39664259223111459</v>
      </c>
      <c r="H88" s="259" t="s">
        <v>281</v>
      </c>
      <c r="I88" s="260"/>
      <c r="J88" s="261"/>
      <c r="K88" s="320"/>
      <c r="L88" s="261"/>
      <c r="M88" s="321"/>
      <c r="N88" s="261"/>
      <c r="O88" s="322"/>
      <c r="P88" s="261"/>
      <c r="Q88" s="323">
        <f>Q89</f>
        <v>14310000</v>
      </c>
      <c r="R88" s="273"/>
    </row>
    <row r="89" spans="1:18" s="281" customFormat="1" ht="18" customHeight="1">
      <c r="A89" s="254"/>
      <c r="B89" s="268"/>
      <c r="C89" s="294"/>
      <c r="D89" s="324"/>
      <c r="E89" s="325"/>
      <c r="F89" s="326"/>
      <c r="G89" s="537"/>
      <c r="H89" s="327" t="s">
        <v>282</v>
      </c>
      <c r="I89" s="328">
        <v>1192500</v>
      </c>
      <c r="J89" s="329" t="s">
        <v>66</v>
      </c>
      <c r="K89" s="522">
        <v>12</v>
      </c>
      <c r="L89" s="331"/>
      <c r="M89" s="538"/>
      <c r="N89" s="331"/>
      <c r="O89" s="332"/>
      <c r="P89" s="331" t="s">
        <v>1</v>
      </c>
      <c r="Q89" s="333">
        <f>ROUND(I89*K89,-1)</f>
        <v>14310000</v>
      </c>
      <c r="R89" s="273"/>
    </row>
    <row r="90" spans="1:18" s="281" customFormat="1" ht="18" customHeight="1">
      <c r="A90" s="254"/>
      <c r="B90" s="268"/>
      <c r="C90" s="541" t="s">
        <v>283</v>
      </c>
      <c r="D90" s="257">
        <f>ROUND((869000/1000),0)</f>
        <v>869</v>
      </c>
      <c r="E90" s="257">
        <f>ROUND((Q90/1000),0)</f>
        <v>2715</v>
      </c>
      <c r="F90" s="258">
        <f>E90-D90</f>
        <v>1846</v>
      </c>
      <c r="G90" s="420">
        <f>F90/D90</f>
        <v>2.1242807825086305</v>
      </c>
      <c r="H90" s="259" t="s">
        <v>284</v>
      </c>
      <c r="I90" s="260"/>
      <c r="J90" s="261"/>
      <c r="K90" s="320"/>
      <c r="L90" s="261"/>
      <c r="M90" s="321"/>
      <c r="N90" s="261"/>
      <c r="O90" s="322"/>
      <c r="P90" s="261"/>
      <c r="Q90" s="323">
        <f>Q91</f>
        <v>2715050</v>
      </c>
      <c r="R90" s="273"/>
    </row>
    <row r="91" spans="1:18" s="281" customFormat="1" ht="18" customHeight="1">
      <c r="A91" s="254"/>
      <c r="B91" s="268"/>
      <c r="C91" s="294"/>
      <c r="D91" s="324"/>
      <c r="E91" s="325"/>
      <c r="F91" s="326"/>
      <c r="G91" s="537"/>
      <c r="H91" s="327" t="s">
        <v>285</v>
      </c>
      <c r="I91" s="328">
        <v>135752.5</v>
      </c>
      <c r="J91" s="329" t="s">
        <v>66</v>
      </c>
      <c r="K91" s="522">
        <v>20</v>
      </c>
      <c r="L91" s="331"/>
      <c r="M91" s="538"/>
      <c r="N91" s="331"/>
      <c r="O91" s="332"/>
      <c r="P91" s="331" t="s">
        <v>1</v>
      </c>
      <c r="Q91" s="333">
        <f>ROUND(I91*K91,-1)</f>
        <v>2715050</v>
      </c>
      <c r="R91" s="273"/>
    </row>
    <row r="92" spans="1:18" s="281" customFormat="1" ht="18" customHeight="1">
      <c r="A92" s="254"/>
      <c r="B92" s="304" t="s">
        <v>357</v>
      </c>
      <c r="C92" s="305"/>
      <c r="D92" s="306">
        <f>SUM(D93:D113)</f>
        <v>113206</v>
      </c>
      <c r="E92" s="306">
        <f>SUM(E93:E113)</f>
        <v>114541</v>
      </c>
      <c r="F92" s="307">
        <f>E92-D92</f>
        <v>1335</v>
      </c>
      <c r="G92" s="418">
        <f>F92/D92</f>
        <v>1.1792661166369274E-2</v>
      </c>
      <c r="H92" s="308"/>
      <c r="I92" s="309"/>
      <c r="J92" s="309"/>
      <c r="K92" s="309"/>
      <c r="L92" s="309"/>
      <c r="M92" s="309"/>
      <c r="N92" s="309"/>
      <c r="O92" s="309"/>
      <c r="P92" s="309"/>
      <c r="Q92" s="310"/>
      <c r="R92" s="273"/>
    </row>
    <row r="93" spans="1:18" s="267" customFormat="1" ht="18" customHeight="1">
      <c r="A93" s="254"/>
      <c r="B93" s="268"/>
      <c r="C93" s="541" t="s">
        <v>152</v>
      </c>
      <c r="D93" s="257">
        <f>ROUND((2522650/1000),0)</f>
        <v>2523</v>
      </c>
      <c r="E93" s="257">
        <f>ROUND((Q93/1000),0)</f>
        <v>12777</v>
      </c>
      <c r="F93" s="258">
        <f>E93-D93</f>
        <v>10254</v>
      </c>
      <c r="G93" s="420">
        <f>F93/D93</f>
        <v>4.0642092746730087</v>
      </c>
      <c r="H93" s="259" t="s">
        <v>76</v>
      </c>
      <c r="I93" s="260"/>
      <c r="J93" s="261"/>
      <c r="K93" s="320"/>
      <c r="L93" s="261"/>
      <c r="M93" s="321"/>
      <c r="N93" s="261"/>
      <c r="O93" s="322"/>
      <c r="P93" s="261"/>
      <c r="Q93" s="323">
        <f>Q94</f>
        <v>12777200</v>
      </c>
      <c r="R93" s="312"/>
    </row>
    <row r="94" spans="1:18" s="267" customFormat="1" ht="18" customHeight="1">
      <c r="A94" s="287"/>
      <c r="B94" s="288"/>
      <c r="C94" s="540"/>
      <c r="D94" s="344"/>
      <c r="E94" s="289"/>
      <c r="F94" s="290"/>
      <c r="G94" s="509"/>
      <c r="H94" s="510" t="s">
        <v>141</v>
      </c>
      <c r="I94" s="355">
        <v>45149.120000000003</v>
      </c>
      <c r="J94" s="400" t="s">
        <v>66</v>
      </c>
      <c r="K94" s="511">
        <v>283</v>
      </c>
      <c r="L94" s="291"/>
      <c r="M94" s="358"/>
      <c r="N94" s="291"/>
      <c r="O94" s="401"/>
      <c r="P94" s="291" t="s">
        <v>1</v>
      </c>
      <c r="Q94" s="359">
        <f>ROUND(I94*K94,-1)</f>
        <v>12777200</v>
      </c>
      <c r="R94" s="273"/>
    </row>
    <row r="95" spans="1:18" s="267" customFormat="1" ht="18" customHeight="1">
      <c r="A95" s="254"/>
      <c r="B95" s="268"/>
      <c r="C95" s="829" t="s">
        <v>261</v>
      </c>
      <c r="D95" s="270">
        <f>ROUND((40517679/1000),0)</f>
        <v>40518</v>
      </c>
      <c r="E95" s="270">
        <f>ROUNDUP((Q95/1000),0)</f>
        <v>44580</v>
      </c>
      <c r="F95" s="271">
        <f>E95-D95</f>
        <v>4062</v>
      </c>
      <c r="G95" s="422">
        <f>F95/D95</f>
        <v>0.10025173996742189</v>
      </c>
      <c r="H95" s="399" t="s">
        <v>265</v>
      </c>
      <c r="I95" s="345"/>
      <c r="J95" s="263"/>
      <c r="K95" s="274"/>
      <c r="L95" s="263"/>
      <c r="M95" s="284"/>
      <c r="N95" s="263"/>
      <c r="O95" s="293"/>
      <c r="P95" s="263"/>
      <c r="Q95" s="346">
        <f>SUM(Q96:Q99)</f>
        <v>44579289.960000001</v>
      </c>
      <c r="R95" s="312"/>
    </row>
    <row r="96" spans="1:18" s="281" customFormat="1" ht="18" customHeight="1">
      <c r="A96" s="254"/>
      <c r="B96" s="268"/>
      <c r="C96" s="829"/>
      <c r="D96" s="302"/>
      <c r="E96" s="270"/>
      <c r="F96" s="271"/>
      <c r="G96" s="417"/>
      <c r="H96" s="282" t="s">
        <v>268</v>
      </c>
      <c r="I96" s="334">
        <v>2383540.83</v>
      </c>
      <c r="J96" s="335" t="s">
        <v>66</v>
      </c>
      <c r="K96" s="275">
        <v>12</v>
      </c>
      <c r="L96" s="335"/>
      <c r="M96" s="336"/>
      <c r="N96" s="335"/>
      <c r="O96" s="337"/>
      <c r="P96" s="338" t="s">
        <v>1</v>
      </c>
      <c r="Q96" s="339">
        <f t="shared" ref="Q96:Q98" si="5">I96*K96</f>
        <v>28602489.960000001</v>
      </c>
      <c r="R96" s="340"/>
    </row>
    <row r="97" spans="1:18" s="281" customFormat="1" ht="18" customHeight="1">
      <c r="A97" s="254"/>
      <c r="B97" s="268"/>
      <c r="C97" s="539"/>
      <c r="D97" s="302"/>
      <c r="E97" s="270"/>
      <c r="F97" s="271"/>
      <c r="G97" s="417"/>
      <c r="H97" s="282" t="s">
        <v>266</v>
      </c>
      <c r="I97" s="334">
        <v>550000</v>
      </c>
      <c r="J97" s="335" t="s">
        <v>66</v>
      </c>
      <c r="K97" s="330">
        <v>12</v>
      </c>
      <c r="L97" s="335"/>
      <c r="M97" s="336"/>
      <c r="N97" s="335"/>
      <c r="O97" s="337"/>
      <c r="P97" s="338" t="s">
        <v>1</v>
      </c>
      <c r="Q97" s="339">
        <f>ROUND(I97*K97,-1)</f>
        <v>6600000</v>
      </c>
      <c r="R97" s="340"/>
    </row>
    <row r="98" spans="1:18" s="281" customFormat="1" ht="18" customHeight="1">
      <c r="A98" s="254"/>
      <c r="B98" s="268"/>
      <c r="C98" s="539"/>
      <c r="D98" s="302"/>
      <c r="E98" s="270"/>
      <c r="F98" s="271"/>
      <c r="G98" s="417"/>
      <c r="H98" s="282" t="s">
        <v>267</v>
      </c>
      <c r="I98" s="334">
        <v>500000</v>
      </c>
      <c r="J98" s="335" t="s">
        <v>66</v>
      </c>
      <c r="K98" s="330">
        <v>12</v>
      </c>
      <c r="L98" s="335"/>
      <c r="M98" s="336"/>
      <c r="N98" s="335"/>
      <c r="O98" s="337"/>
      <c r="P98" s="338" t="s">
        <v>1</v>
      </c>
      <c r="Q98" s="339">
        <f t="shared" si="5"/>
        <v>6000000</v>
      </c>
      <c r="R98" s="340"/>
    </row>
    <row r="99" spans="1:18" s="281" customFormat="1" ht="18" customHeight="1">
      <c r="A99" s="254"/>
      <c r="B99" s="268"/>
      <c r="C99" s="539"/>
      <c r="D99" s="302"/>
      <c r="E99" s="270"/>
      <c r="F99" s="271"/>
      <c r="G99" s="417"/>
      <c r="H99" s="282" t="s">
        <v>269</v>
      </c>
      <c r="I99" s="334">
        <v>281400</v>
      </c>
      <c r="J99" s="335" t="s">
        <v>66</v>
      </c>
      <c r="K99" s="330">
        <v>12</v>
      </c>
      <c r="L99" s="335"/>
      <c r="M99" s="336"/>
      <c r="N99" s="335"/>
      <c r="O99" s="337"/>
      <c r="P99" s="338" t="s">
        <v>1</v>
      </c>
      <c r="Q99" s="339">
        <f>ROUND(I99*K99,-1)</f>
        <v>3376800</v>
      </c>
      <c r="R99" s="340"/>
    </row>
    <row r="100" spans="1:18" s="281" customFormat="1" ht="18" customHeight="1">
      <c r="A100" s="254"/>
      <c r="B100" s="268"/>
      <c r="C100" s="541" t="s">
        <v>262</v>
      </c>
      <c r="D100" s="257">
        <f>ROUND((20074910/1000),0)</f>
        <v>20075</v>
      </c>
      <c r="E100" s="257">
        <f>ROUND((Q100/1000),0)</f>
        <v>25006</v>
      </c>
      <c r="F100" s="258">
        <f>E100-D100</f>
        <v>4931</v>
      </c>
      <c r="G100" s="414">
        <f>F100/D100</f>
        <v>0.24562889165628893</v>
      </c>
      <c r="H100" s="259" t="s">
        <v>263</v>
      </c>
      <c r="I100" s="260"/>
      <c r="J100" s="261"/>
      <c r="K100" s="320"/>
      <c r="L100" s="261"/>
      <c r="M100" s="321"/>
      <c r="N100" s="261"/>
      <c r="O100" s="322"/>
      <c r="P100" s="261"/>
      <c r="Q100" s="323">
        <f>SUM(Q101:Q102)</f>
        <v>25006140</v>
      </c>
      <c r="R100" s="312"/>
    </row>
    <row r="101" spans="1:18" s="267" customFormat="1" ht="18" customHeight="1">
      <c r="A101" s="254"/>
      <c r="B101" s="268"/>
      <c r="C101" s="539"/>
      <c r="D101" s="302"/>
      <c r="E101" s="270"/>
      <c r="F101" s="271"/>
      <c r="G101" s="417"/>
      <c r="H101" s="286" t="s">
        <v>264</v>
      </c>
      <c r="I101" s="278">
        <v>1400000</v>
      </c>
      <c r="J101" s="341" t="s">
        <v>66</v>
      </c>
      <c r="K101" s="347">
        <v>12</v>
      </c>
      <c r="L101" s="135"/>
      <c r="M101" s="135"/>
      <c r="N101" s="263"/>
      <c r="O101" s="342"/>
      <c r="P101" s="263" t="s">
        <v>68</v>
      </c>
      <c r="Q101" s="319">
        <f>I101*K101</f>
        <v>16800000</v>
      </c>
      <c r="R101" s="273"/>
    </row>
    <row r="102" spans="1:18" s="267" customFormat="1" ht="18" customHeight="1">
      <c r="A102" s="254"/>
      <c r="B102" s="268"/>
      <c r="C102" s="539"/>
      <c r="D102" s="302"/>
      <c r="E102" s="270"/>
      <c r="F102" s="271"/>
      <c r="G102" s="417"/>
      <c r="H102" s="286" t="s">
        <v>140</v>
      </c>
      <c r="I102" s="278">
        <v>683845</v>
      </c>
      <c r="J102" s="341" t="s">
        <v>66</v>
      </c>
      <c r="K102" s="330">
        <v>12</v>
      </c>
      <c r="L102" s="135"/>
      <c r="M102" s="135"/>
      <c r="N102" s="263"/>
      <c r="O102" s="342"/>
      <c r="P102" s="263" t="s">
        <v>68</v>
      </c>
      <c r="Q102" s="319">
        <f>I102*K102</f>
        <v>8206140</v>
      </c>
      <c r="R102" s="273"/>
    </row>
    <row r="103" spans="1:18" s="267" customFormat="1" ht="18" customHeight="1">
      <c r="A103" s="254"/>
      <c r="B103" s="268"/>
      <c r="C103" s="541" t="s">
        <v>270</v>
      </c>
      <c r="D103" s="257">
        <f>ROUND((8424570/1000),0)</f>
        <v>8425</v>
      </c>
      <c r="E103" s="257">
        <f>ROUND((Q103/1000),0)</f>
        <v>3960</v>
      </c>
      <c r="F103" s="258">
        <f>E103-D103</f>
        <v>-4465</v>
      </c>
      <c r="G103" s="420">
        <f>F103/D103</f>
        <v>-0.5299703264094956</v>
      </c>
      <c r="H103" s="259" t="s">
        <v>271</v>
      </c>
      <c r="I103" s="260"/>
      <c r="J103" s="261"/>
      <c r="K103" s="320"/>
      <c r="L103" s="261"/>
      <c r="M103" s="321"/>
      <c r="N103" s="261"/>
      <c r="O103" s="322"/>
      <c r="P103" s="261"/>
      <c r="Q103" s="323">
        <f>SUM(Q104:Q106)</f>
        <v>3960000</v>
      </c>
      <c r="R103" s="312"/>
    </row>
    <row r="104" spans="1:18" s="267" customFormat="1" ht="18" customHeight="1">
      <c r="A104" s="254"/>
      <c r="B104" s="268"/>
      <c r="C104" s="539"/>
      <c r="D104" s="302"/>
      <c r="E104" s="270"/>
      <c r="F104" s="271"/>
      <c r="G104" s="417"/>
      <c r="H104" s="282" t="s">
        <v>272</v>
      </c>
      <c r="I104" s="263">
        <v>1400000</v>
      </c>
      <c r="J104" s="335" t="s">
        <v>66</v>
      </c>
      <c r="K104" s="535">
        <v>1</v>
      </c>
      <c r="L104" s="263"/>
      <c r="M104" s="284"/>
      <c r="N104" s="263"/>
      <c r="O104" s="293"/>
      <c r="P104" s="338" t="s">
        <v>1</v>
      </c>
      <c r="Q104" s="536">
        <f>I104*K104</f>
        <v>1400000</v>
      </c>
      <c r="R104" s="348"/>
    </row>
    <row r="105" spans="1:18" s="267" customFormat="1" ht="18" customHeight="1">
      <c r="A105" s="254"/>
      <c r="B105" s="268"/>
      <c r="C105" s="539"/>
      <c r="D105" s="302"/>
      <c r="E105" s="270"/>
      <c r="F105" s="271"/>
      <c r="G105" s="417"/>
      <c r="H105" s="282" t="s">
        <v>274</v>
      </c>
      <c r="I105" s="263">
        <v>2160000</v>
      </c>
      <c r="J105" s="335" t="s">
        <v>66</v>
      </c>
      <c r="K105" s="535">
        <v>1</v>
      </c>
      <c r="L105" s="263"/>
      <c r="M105" s="284"/>
      <c r="N105" s="263"/>
      <c r="O105" s="293"/>
      <c r="P105" s="338" t="s">
        <v>1</v>
      </c>
      <c r="Q105" s="536">
        <f>I105*K105</f>
        <v>2160000</v>
      </c>
      <c r="R105" s="348"/>
    </row>
    <row r="106" spans="1:18" s="281" customFormat="1" ht="18" customHeight="1">
      <c r="A106" s="254"/>
      <c r="B106" s="268"/>
      <c r="C106" s="294"/>
      <c r="D106" s="324"/>
      <c r="E106" s="325"/>
      <c r="F106" s="326"/>
      <c r="G106" s="423"/>
      <c r="H106" s="282" t="s">
        <v>273</v>
      </c>
      <c r="I106" s="328">
        <v>400000</v>
      </c>
      <c r="J106" s="329" t="s">
        <v>66</v>
      </c>
      <c r="K106" s="512">
        <v>1</v>
      </c>
      <c r="L106" s="513"/>
      <c r="M106" s="514"/>
      <c r="N106" s="331"/>
      <c r="O106" s="332"/>
      <c r="P106" s="331" t="s">
        <v>68</v>
      </c>
      <c r="Q106" s="333">
        <f>I106*K106</f>
        <v>400000</v>
      </c>
      <c r="R106" s="273"/>
    </row>
    <row r="107" spans="1:18" s="281" customFormat="1" ht="18" customHeight="1">
      <c r="A107" s="254"/>
      <c r="B107" s="268"/>
      <c r="C107" s="541" t="s">
        <v>275</v>
      </c>
      <c r="D107" s="257">
        <f>ROUND((2557000/1000),0)</f>
        <v>2557</v>
      </c>
      <c r="E107" s="257">
        <f>ROUND((Q107/1000),0)</f>
        <v>1600</v>
      </c>
      <c r="F107" s="258">
        <f>E107-D107</f>
        <v>-957</v>
      </c>
      <c r="G107" s="414">
        <f>F107/D107</f>
        <v>-0.37426671881110679</v>
      </c>
      <c r="H107" s="259" t="s">
        <v>138</v>
      </c>
      <c r="I107" s="260"/>
      <c r="J107" s="261"/>
      <c r="K107" s="320"/>
      <c r="L107" s="261"/>
      <c r="M107" s="321"/>
      <c r="N107" s="261"/>
      <c r="O107" s="322"/>
      <c r="P107" s="261"/>
      <c r="Q107" s="323">
        <f>SUM(Q108:Q109)</f>
        <v>1600000</v>
      </c>
      <c r="R107" s="312"/>
    </row>
    <row r="108" spans="1:18" s="267" customFormat="1" ht="18" customHeight="1">
      <c r="A108" s="254"/>
      <c r="B108" s="268"/>
      <c r="C108" s="349"/>
      <c r="D108" s="302"/>
      <c r="E108" s="270"/>
      <c r="F108" s="271"/>
      <c r="G108" s="417"/>
      <c r="H108" s="286" t="s">
        <v>150</v>
      </c>
      <c r="I108" s="334">
        <v>50000</v>
      </c>
      <c r="J108" s="335" t="s">
        <v>66</v>
      </c>
      <c r="K108" s="343">
        <v>1</v>
      </c>
      <c r="L108" s="335"/>
      <c r="M108" s="336"/>
      <c r="N108" s="335"/>
      <c r="O108" s="337"/>
      <c r="P108" s="338" t="s">
        <v>1</v>
      </c>
      <c r="Q108" s="339">
        <f>I108*K108</f>
        <v>50000</v>
      </c>
      <c r="R108" s="340"/>
    </row>
    <row r="109" spans="1:18" s="354" customFormat="1" ht="18" customHeight="1">
      <c r="A109" s="254"/>
      <c r="B109" s="268"/>
      <c r="C109" s="349"/>
      <c r="D109" s="269"/>
      <c r="E109" s="350"/>
      <c r="F109" s="351"/>
      <c r="G109" s="421"/>
      <c r="H109" s="286" t="s">
        <v>161</v>
      </c>
      <c r="I109" s="278">
        <v>155000</v>
      </c>
      <c r="J109" s="352" t="s">
        <v>66</v>
      </c>
      <c r="K109" s="285">
        <v>10</v>
      </c>
      <c r="L109" s="352"/>
      <c r="M109" s="293"/>
      <c r="N109" s="352"/>
      <c r="O109" s="276"/>
      <c r="P109" s="353" t="s">
        <v>1</v>
      </c>
      <c r="Q109" s="319">
        <f>I109*K109</f>
        <v>1550000</v>
      </c>
      <c r="R109" s="273"/>
    </row>
    <row r="110" spans="1:18" s="396" customFormat="1" ht="18" customHeight="1">
      <c r="A110" s="254"/>
      <c r="B110" s="268"/>
      <c r="C110" s="541" t="s">
        <v>276</v>
      </c>
      <c r="D110" s="257">
        <f>ROUND((39107850/1000),0)</f>
        <v>39108</v>
      </c>
      <c r="E110" s="257">
        <f>ROUND((Q110/1000),0)</f>
        <v>26618</v>
      </c>
      <c r="F110" s="258">
        <f>E110-D110</f>
        <v>-12490</v>
      </c>
      <c r="G110" s="414">
        <f>F110/D110</f>
        <v>-0.31937199549964201</v>
      </c>
      <c r="H110" s="298" t="s">
        <v>355</v>
      </c>
      <c r="I110" s="395"/>
      <c r="J110" s="261"/>
      <c r="K110" s="320"/>
      <c r="L110" s="261"/>
      <c r="M110" s="322"/>
      <c r="N110" s="261"/>
      <c r="O110" s="321"/>
      <c r="P110" s="261"/>
      <c r="Q110" s="323">
        <f>SUM(Q111:Q113)</f>
        <v>26618000.199999999</v>
      </c>
      <c r="R110" s="279"/>
    </row>
    <row r="111" spans="1:18" s="281" customFormat="1" ht="18" customHeight="1">
      <c r="A111" s="254"/>
      <c r="B111" s="268"/>
      <c r="C111" s="539"/>
      <c r="D111" s="302"/>
      <c r="E111" s="270"/>
      <c r="F111" s="271"/>
      <c r="G111" s="417"/>
      <c r="H111" s="286" t="s">
        <v>277</v>
      </c>
      <c r="I111" s="278">
        <v>3780000</v>
      </c>
      <c r="J111" s="263" t="s">
        <v>0</v>
      </c>
      <c r="K111" s="285">
        <v>6</v>
      </c>
      <c r="L111" s="263"/>
      <c r="M111" s="293"/>
      <c r="N111" s="263"/>
      <c r="O111" s="284"/>
      <c r="P111" s="263" t="s">
        <v>1</v>
      </c>
      <c r="Q111" s="319">
        <f>I111*K111</f>
        <v>22680000</v>
      </c>
      <c r="R111" s="273"/>
    </row>
    <row r="112" spans="1:18" s="281" customFormat="1" ht="18" customHeight="1">
      <c r="A112" s="254"/>
      <c r="B112" s="268"/>
      <c r="C112" s="539"/>
      <c r="D112" s="302"/>
      <c r="E112" s="270"/>
      <c r="F112" s="271"/>
      <c r="G112" s="417"/>
      <c r="H112" s="286" t="s">
        <v>278</v>
      </c>
      <c r="I112" s="278">
        <v>30142.86</v>
      </c>
      <c r="J112" s="263" t="s">
        <v>0</v>
      </c>
      <c r="K112" s="285">
        <v>70</v>
      </c>
      <c r="L112" s="263"/>
      <c r="M112" s="356"/>
      <c r="N112" s="263"/>
      <c r="O112" s="284"/>
      <c r="P112" s="263" t="s">
        <v>1</v>
      </c>
      <c r="Q112" s="319">
        <f>I112*K112</f>
        <v>2110000.2000000002</v>
      </c>
      <c r="R112" s="273"/>
    </row>
    <row r="113" spans="1:19" s="281" customFormat="1" ht="18" customHeight="1">
      <c r="A113" s="254"/>
      <c r="B113" s="268"/>
      <c r="C113" s="303"/>
      <c r="D113" s="302"/>
      <c r="E113" s="270"/>
      <c r="F113" s="271"/>
      <c r="G113" s="417"/>
      <c r="H113" s="282" t="s">
        <v>279</v>
      </c>
      <c r="I113" s="355">
        <v>45700</v>
      </c>
      <c r="J113" s="291" t="s">
        <v>0</v>
      </c>
      <c r="K113" s="357">
        <v>40</v>
      </c>
      <c r="L113" s="291"/>
      <c r="M113" s="358"/>
      <c r="N113" s="291"/>
      <c r="O113" s="292"/>
      <c r="P113" s="291" t="s">
        <v>1</v>
      </c>
      <c r="Q113" s="319">
        <f>I113*K113</f>
        <v>1828000</v>
      </c>
      <c r="R113" s="273"/>
    </row>
    <row r="114" spans="1:19" s="354" customFormat="1" ht="18.95" customHeight="1">
      <c r="A114" s="830" t="s">
        <v>286</v>
      </c>
      <c r="B114" s="831"/>
      <c r="C114" s="832"/>
      <c r="D114" s="360">
        <f>D115</f>
        <v>36555</v>
      </c>
      <c r="E114" s="360">
        <f>E115</f>
        <v>20431</v>
      </c>
      <c r="F114" s="361">
        <f>E114-D114</f>
        <v>-16124</v>
      </c>
      <c r="G114" s="424">
        <f>F114/D114</f>
        <v>-0.44108877034605387</v>
      </c>
      <c r="H114" s="362"/>
      <c r="I114" s="363"/>
      <c r="J114" s="363"/>
      <c r="K114" s="363"/>
      <c r="L114" s="363"/>
      <c r="M114" s="363"/>
      <c r="N114" s="363"/>
      <c r="O114" s="363"/>
      <c r="P114" s="363"/>
      <c r="Q114" s="364"/>
      <c r="R114" s="243"/>
    </row>
    <row r="115" spans="1:19" s="354" customFormat="1" ht="18.95" customHeight="1">
      <c r="A115" s="245"/>
      <c r="B115" s="807" t="s">
        <v>287</v>
      </c>
      <c r="C115" s="808"/>
      <c r="D115" s="247">
        <f>SUM(D116:D120)</f>
        <v>36555</v>
      </c>
      <c r="E115" s="247">
        <f>SUM(E116:E120)</f>
        <v>20431</v>
      </c>
      <c r="F115" s="248">
        <f>E115-D115</f>
        <v>-16124</v>
      </c>
      <c r="G115" s="413">
        <f>F115/D115</f>
        <v>-0.44108877034605387</v>
      </c>
      <c r="H115" s="249"/>
      <c r="I115" s="250"/>
      <c r="J115" s="250"/>
      <c r="K115" s="250"/>
      <c r="L115" s="250"/>
      <c r="M115" s="250"/>
      <c r="N115" s="250"/>
      <c r="O115" s="250"/>
      <c r="P115" s="250"/>
      <c r="Q115" s="251"/>
      <c r="R115" s="365"/>
    </row>
    <row r="116" spans="1:19" s="354" customFormat="1" ht="18.95" customHeight="1">
      <c r="A116" s="254"/>
      <c r="B116" s="529"/>
      <c r="C116" s="541" t="s">
        <v>288</v>
      </c>
      <c r="D116" s="257">
        <f>ROUND((4332000/1000),0)</f>
        <v>4332</v>
      </c>
      <c r="E116" s="257">
        <f>ROUND((Q116/1000),0)</f>
        <v>4000</v>
      </c>
      <c r="F116" s="258">
        <f>E116-D116</f>
        <v>-332</v>
      </c>
      <c r="G116" s="414">
        <f>F116/D116</f>
        <v>-7.663896583564174E-2</v>
      </c>
      <c r="H116" s="398" t="s">
        <v>290</v>
      </c>
      <c r="I116" s="372"/>
      <c r="J116" s="261"/>
      <c r="K116" s="366"/>
      <c r="L116" s="261"/>
      <c r="M116" s="367"/>
      <c r="N116" s="261"/>
      <c r="O116" s="368"/>
      <c r="P116" s="261"/>
      <c r="Q116" s="264">
        <f>SUM(Q117:Q117)</f>
        <v>4000000</v>
      </c>
      <c r="R116" s="265"/>
      <c r="S116" s="373"/>
    </row>
    <row r="117" spans="1:19" s="354" customFormat="1" ht="18.95" customHeight="1">
      <c r="A117" s="254"/>
      <c r="B117" s="530"/>
      <c r="C117" s="539"/>
      <c r="D117" s="302"/>
      <c r="E117" s="270"/>
      <c r="F117" s="271"/>
      <c r="G117" s="417"/>
      <c r="H117" s="286" t="s">
        <v>291</v>
      </c>
      <c r="I117" s="278">
        <v>2000000</v>
      </c>
      <c r="J117" s="263" t="s">
        <v>66</v>
      </c>
      <c r="K117" s="330">
        <v>2</v>
      </c>
      <c r="L117" s="263"/>
      <c r="M117" s="318"/>
      <c r="N117" s="263"/>
      <c r="O117" s="369"/>
      <c r="P117" s="263" t="s">
        <v>1</v>
      </c>
      <c r="Q117" s="277">
        <f>I117*K117</f>
        <v>4000000</v>
      </c>
      <c r="R117" s="265"/>
    </row>
    <row r="118" spans="1:19" s="354" customFormat="1" ht="18.95" customHeight="1">
      <c r="A118" s="254"/>
      <c r="B118" s="530"/>
      <c r="C118" s="541" t="s">
        <v>289</v>
      </c>
      <c r="D118" s="257">
        <f>ROUND((32223112/1000),0)</f>
        <v>32223</v>
      </c>
      <c r="E118" s="257">
        <f>ROUND((Q118/1000),0)</f>
        <v>16431</v>
      </c>
      <c r="F118" s="258">
        <f>E118-D118</f>
        <v>-15792</v>
      </c>
      <c r="G118" s="414">
        <f>F118/D118</f>
        <v>-0.49008472209291498</v>
      </c>
      <c r="H118" s="398" t="s">
        <v>292</v>
      </c>
      <c r="I118" s="524"/>
      <c r="J118" s="261"/>
      <c r="K118" s="525"/>
      <c r="L118" s="261"/>
      <c r="M118" s="526"/>
      <c r="N118" s="261"/>
      <c r="O118" s="368"/>
      <c r="P118" s="261"/>
      <c r="Q118" s="264">
        <f>SUM(Q119:Q120)</f>
        <v>16431200.01</v>
      </c>
      <c r="R118" s="278"/>
    </row>
    <row r="119" spans="1:19" s="354" customFormat="1" ht="18.95" customHeight="1">
      <c r="A119" s="254"/>
      <c r="B119" s="530"/>
      <c r="C119" s="539"/>
      <c r="D119" s="302"/>
      <c r="E119" s="270"/>
      <c r="F119" s="271"/>
      <c r="G119" s="417"/>
      <c r="H119" s="286" t="s">
        <v>293</v>
      </c>
      <c r="I119" s="278">
        <v>1418742.86</v>
      </c>
      <c r="J119" s="263" t="s">
        <v>66</v>
      </c>
      <c r="K119" s="330">
        <v>7</v>
      </c>
      <c r="L119" s="263"/>
      <c r="M119" s="318"/>
      <c r="N119" s="263"/>
      <c r="O119" s="369"/>
      <c r="P119" s="263" t="s">
        <v>1</v>
      </c>
      <c r="Q119" s="277">
        <f>ROUND(I119*K119,-1)</f>
        <v>9931200</v>
      </c>
      <c r="R119" s="278"/>
    </row>
    <row r="120" spans="1:19" s="354" customFormat="1" ht="18.95" customHeight="1">
      <c r="A120" s="254"/>
      <c r="B120" s="530"/>
      <c r="C120" s="539"/>
      <c r="D120" s="302"/>
      <c r="E120" s="270"/>
      <c r="F120" s="271"/>
      <c r="G120" s="417"/>
      <c r="H120" s="286" t="s">
        <v>294</v>
      </c>
      <c r="I120" s="278">
        <v>2166666.67</v>
      </c>
      <c r="J120" s="263" t="s">
        <v>66</v>
      </c>
      <c r="K120" s="330">
        <v>3</v>
      </c>
      <c r="L120" s="263"/>
      <c r="M120" s="318"/>
      <c r="N120" s="263"/>
      <c r="O120" s="369"/>
      <c r="P120" s="263" t="s">
        <v>1</v>
      </c>
      <c r="Q120" s="277">
        <f t="shared" ref="Q120" si="6">I120*K120</f>
        <v>6500000.0099999998</v>
      </c>
      <c r="R120" s="278"/>
    </row>
    <row r="121" spans="1:19" s="354" customFormat="1" ht="18.95" customHeight="1">
      <c r="A121" s="830" t="s">
        <v>51</v>
      </c>
      <c r="B121" s="831"/>
      <c r="C121" s="832"/>
      <c r="D121" s="360">
        <f>D122+D152+D161+D174+D196+D211+D214+D146+D149</f>
        <v>1921939</v>
      </c>
      <c r="E121" s="360">
        <f ca="1">SUM(E122,E146,E149,E152,E161,E174,E196,E211,E214)</f>
        <v>2233719</v>
      </c>
      <c r="F121" s="361">
        <f ca="1">E121-D121</f>
        <v>318340</v>
      </c>
      <c r="G121" s="424">
        <f ca="1">F121/D121</f>
        <v>0.16580735117105283</v>
      </c>
      <c r="H121" s="362"/>
      <c r="I121" s="363"/>
      <c r="J121" s="363"/>
      <c r="K121" s="363"/>
      <c r="L121" s="363"/>
      <c r="M121" s="363"/>
      <c r="N121" s="363"/>
      <c r="O121" s="363"/>
      <c r="P121" s="363"/>
      <c r="Q121" s="364"/>
      <c r="R121" s="243"/>
    </row>
    <row r="122" spans="1:19" s="354" customFormat="1" ht="18.95" customHeight="1">
      <c r="A122" s="245"/>
      <c r="B122" s="807" t="s">
        <v>427</v>
      </c>
      <c r="C122" s="808"/>
      <c r="D122" s="247">
        <f>SUM(D123:D146)</f>
        <v>52741</v>
      </c>
      <c r="E122" s="247">
        <f ca="1">SUM(E122:E144)</f>
        <v>32290</v>
      </c>
      <c r="F122" s="248">
        <f ca="1">E122-D122</f>
        <v>-15891</v>
      </c>
      <c r="G122" s="413">
        <f ca="1">F122/D122</f>
        <v>-0.30130259191141617</v>
      </c>
      <c r="H122" s="249"/>
      <c r="I122" s="250"/>
      <c r="J122" s="250"/>
      <c r="K122" s="250"/>
      <c r="L122" s="250"/>
      <c r="M122" s="250"/>
      <c r="N122" s="250"/>
      <c r="O122" s="250"/>
      <c r="P122" s="250"/>
      <c r="Q122" s="251"/>
      <c r="R122" s="365"/>
    </row>
    <row r="123" spans="1:19" s="354" customFormat="1" ht="18.95" customHeight="1">
      <c r="A123" s="254"/>
      <c r="B123" s="529"/>
      <c r="C123" s="541" t="s">
        <v>185</v>
      </c>
      <c r="D123" s="257">
        <f>ROUND((7310000/1000),0)</f>
        <v>7310</v>
      </c>
      <c r="E123" s="257">
        <f>ROUND((Q123/1000),0)</f>
        <v>5500</v>
      </c>
      <c r="F123" s="258">
        <f>E123-D123</f>
        <v>-1810</v>
      </c>
      <c r="G123" s="414">
        <f>F123/D123</f>
        <v>-0.2476060191518468</v>
      </c>
      <c r="H123" s="398" t="s">
        <v>184</v>
      </c>
      <c r="I123" s="372"/>
      <c r="J123" s="261"/>
      <c r="K123" s="366"/>
      <c r="L123" s="261"/>
      <c r="M123" s="367"/>
      <c r="N123" s="261"/>
      <c r="O123" s="368"/>
      <c r="P123" s="261"/>
      <c r="Q123" s="264">
        <f>SUM(Q124:Q126)</f>
        <v>5500000</v>
      </c>
      <c r="R123" s="265"/>
      <c r="S123" s="373"/>
    </row>
    <row r="124" spans="1:19" s="354" customFormat="1" ht="18.95" customHeight="1">
      <c r="A124" s="254"/>
      <c r="B124" s="530"/>
      <c r="C124" s="539"/>
      <c r="D124" s="302"/>
      <c r="E124" s="270"/>
      <c r="F124" s="271"/>
      <c r="G124" s="417"/>
      <c r="H124" s="286" t="s">
        <v>162</v>
      </c>
      <c r="I124" s="278">
        <v>400000</v>
      </c>
      <c r="J124" s="263" t="s">
        <v>66</v>
      </c>
      <c r="K124" s="330">
        <v>5</v>
      </c>
      <c r="L124" s="263"/>
      <c r="M124" s="318"/>
      <c r="N124" s="263"/>
      <c r="O124" s="369"/>
      <c r="P124" s="263" t="s">
        <v>1</v>
      </c>
      <c r="Q124" s="277">
        <f>I124*K124</f>
        <v>2000000</v>
      </c>
      <c r="R124" s="265"/>
    </row>
    <row r="125" spans="1:19" s="354" customFormat="1" ht="18.95" customHeight="1">
      <c r="A125" s="254"/>
      <c r="B125" s="530"/>
      <c r="C125" s="539"/>
      <c r="D125" s="302"/>
      <c r="E125" s="270"/>
      <c r="F125" s="271"/>
      <c r="G125" s="417"/>
      <c r="H125" s="286" t="s">
        <v>163</v>
      </c>
      <c r="I125" s="278">
        <v>400000</v>
      </c>
      <c r="J125" s="263" t="s">
        <v>66</v>
      </c>
      <c r="K125" s="330">
        <v>5</v>
      </c>
      <c r="L125" s="263"/>
      <c r="M125" s="318"/>
      <c r="N125" s="263"/>
      <c r="O125" s="369"/>
      <c r="P125" s="263" t="s">
        <v>1</v>
      </c>
      <c r="Q125" s="277">
        <f t="shared" ref="Q125:Q193" si="7">I125*K125</f>
        <v>2000000</v>
      </c>
      <c r="R125" s="278"/>
    </row>
    <row r="126" spans="1:19" s="354" customFormat="1" ht="18.95" customHeight="1">
      <c r="A126" s="254"/>
      <c r="B126" s="530"/>
      <c r="C126" s="294"/>
      <c r="D126" s="324"/>
      <c r="E126" s="325"/>
      <c r="F126" s="326"/>
      <c r="G126" s="423"/>
      <c r="H126" s="327" t="s">
        <v>186</v>
      </c>
      <c r="I126" s="328">
        <v>300000</v>
      </c>
      <c r="J126" s="331" t="s">
        <v>66</v>
      </c>
      <c r="K126" s="522">
        <v>5</v>
      </c>
      <c r="L126" s="331"/>
      <c r="M126" s="523"/>
      <c r="N126" s="331"/>
      <c r="O126" s="370"/>
      <c r="P126" s="331" t="s">
        <v>1</v>
      </c>
      <c r="Q126" s="371">
        <f t="shared" si="7"/>
        <v>1500000</v>
      </c>
      <c r="R126" s="278"/>
    </row>
    <row r="127" spans="1:19" s="354" customFormat="1" ht="18.95" customHeight="1">
      <c r="A127" s="254"/>
      <c r="B127" s="530"/>
      <c r="C127" s="541" t="s">
        <v>187</v>
      </c>
      <c r="D127" s="257">
        <f>ROUND((23075730/1000),0)</f>
        <v>23076</v>
      </c>
      <c r="E127" s="257">
        <f>ROUND((Q127/1000),0)</f>
        <v>17450</v>
      </c>
      <c r="F127" s="258">
        <f>E127-D127</f>
        <v>-5626</v>
      </c>
      <c r="G127" s="414">
        <f>F127/D127</f>
        <v>-0.24380308545675161</v>
      </c>
      <c r="H127" s="398" t="s">
        <v>188</v>
      </c>
      <c r="I127" s="524"/>
      <c r="J127" s="261"/>
      <c r="K127" s="525"/>
      <c r="L127" s="261"/>
      <c r="M127" s="526"/>
      <c r="N127" s="261"/>
      <c r="O127" s="368"/>
      <c r="P127" s="261"/>
      <c r="Q127" s="264">
        <f>SUM(Q128:Q130)</f>
        <v>17450000</v>
      </c>
      <c r="R127" s="278"/>
    </row>
    <row r="128" spans="1:19" s="354" customFormat="1" ht="18.95" customHeight="1">
      <c r="A128" s="254"/>
      <c r="B128" s="530"/>
      <c r="C128" s="539"/>
      <c r="D128" s="302"/>
      <c r="E128" s="270"/>
      <c r="F128" s="271"/>
      <c r="G128" s="417"/>
      <c r="H128" s="286" t="s">
        <v>193</v>
      </c>
      <c r="I128" s="278">
        <v>30000</v>
      </c>
      <c r="J128" s="263" t="s">
        <v>66</v>
      </c>
      <c r="K128" s="330">
        <v>540</v>
      </c>
      <c r="L128" s="263"/>
      <c r="M128" s="318"/>
      <c r="N128" s="263"/>
      <c r="O128" s="369"/>
      <c r="P128" s="263" t="s">
        <v>1</v>
      </c>
      <c r="Q128" s="277">
        <f>ROUND(I128*K128,-1)</f>
        <v>16200000</v>
      </c>
      <c r="R128" s="278"/>
    </row>
    <row r="129" spans="1:18" s="354" customFormat="1" ht="18.95" customHeight="1">
      <c r="A129" s="254"/>
      <c r="B129" s="530"/>
      <c r="C129" s="539"/>
      <c r="D129" s="302"/>
      <c r="E129" s="270"/>
      <c r="F129" s="271"/>
      <c r="G129" s="417"/>
      <c r="H129" s="286" t="s">
        <v>189</v>
      </c>
      <c r="I129" s="278">
        <v>0</v>
      </c>
      <c r="J129" s="263" t="s">
        <v>66</v>
      </c>
      <c r="K129" s="330">
        <v>10</v>
      </c>
      <c r="L129" s="263"/>
      <c r="M129" s="318"/>
      <c r="N129" s="263"/>
      <c r="O129" s="369"/>
      <c r="P129" s="263" t="s">
        <v>1</v>
      </c>
      <c r="Q129" s="277">
        <f t="shared" si="7"/>
        <v>0</v>
      </c>
      <c r="R129" s="278"/>
    </row>
    <row r="130" spans="1:18" s="354" customFormat="1" ht="18.95" customHeight="1">
      <c r="A130" s="254"/>
      <c r="B130" s="521"/>
      <c r="C130" s="294"/>
      <c r="D130" s="324"/>
      <c r="E130" s="325"/>
      <c r="F130" s="326"/>
      <c r="G130" s="423"/>
      <c r="H130" s="327" t="s">
        <v>190</v>
      </c>
      <c r="I130" s="328">
        <v>125000</v>
      </c>
      <c r="J130" s="331" t="s">
        <v>66</v>
      </c>
      <c r="K130" s="522">
        <v>10</v>
      </c>
      <c r="L130" s="331"/>
      <c r="M130" s="523"/>
      <c r="N130" s="331"/>
      <c r="O130" s="370"/>
      <c r="P130" s="331" t="s">
        <v>1</v>
      </c>
      <c r="Q130" s="371">
        <f t="shared" si="7"/>
        <v>1250000</v>
      </c>
      <c r="R130" s="278"/>
    </row>
    <row r="131" spans="1:18" s="354" customFormat="1" ht="18.95" customHeight="1">
      <c r="A131" s="254"/>
      <c r="B131" s="521"/>
      <c r="C131" s="541" t="s">
        <v>191</v>
      </c>
      <c r="D131" s="257">
        <f>ROUND((1200820/1000),0)</f>
        <v>1201</v>
      </c>
      <c r="E131" s="257">
        <f>ROUND((Q131/1000),0)</f>
        <v>2340</v>
      </c>
      <c r="F131" s="258">
        <f>E131-D131</f>
        <v>1139</v>
      </c>
      <c r="G131" s="414">
        <f>F131/D131</f>
        <v>0.94837635303913403</v>
      </c>
      <c r="H131" s="398" t="s">
        <v>192</v>
      </c>
      <c r="I131" s="524"/>
      <c r="J131" s="261"/>
      <c r="K131" s="525"/>
      <c r="L131" s="261"/>
      <c r="M131" s="526"/>
      <c r="N131" s="261"/>
      <c r="O131" s="368"/>
      <c r="P131" s="261"/>
      <c r="Q131" s="264">
        <f>SUM(Q132:Q136)</f>
        <v>2340000</v>
      </c>
      <c r="R131" s="278"/>
    </row>
    <row r="132" spans="1:18" s="354" customFormat="1" ht="18.95" customHeight="1">
      <c r="A132" s="254"/>
      <c r="B132" s="521"/>
      <c r="C132" s="539"/>
      <c r="D132" s="302"/>
      <c r="E132" s="270"/>
      <c r="F132" s="271"/>
      <c r="G132" s="417"/>
      <c r="H132" s="286" t="s">
        <v>194</v>
      </c>
      <c r="I132" s="278">
        <v>50000</v>
      </c>
      <c r="J132" s="263" t="s">
        <v>66</v>
      </c>
      <c r="K132" s="330">
        <v>4</v>
      </c>
      <c r="L132" s="263"/>
      <c r="M132" s="318"/>
      <c r="N132" s="263"/>
      <c r="O132" s="369"/>
      <c r="P132" s="263" t="s">
        <v>1</v>
      </c>
      <c r="Q132" s="277">
        <f t="shared" si="7"/>
        <v>200000</v>
      </c>
      <c r="R132" s="278"/>
    </row>
    <row r="133" spans="1:18" s="354" customFormat="1" ht="18.95" customHeight="1">
      <c r="A133" s="254"/>
      <c r="B133" s="521"/>
      <c r="C133" s="539"/>
      <c r="D133" s="302"/>
      <c r="E133" s="270"/>
      <c r="F133" s="271"/>
      <c r="G133" s="417"/>
      <c r="H133" s="286" t="s">
        <v>195</v>
      </c>
      <c r="I133" s="278">
        <v>40000</v>
      </c>
      <c r="J133" s="263" t="s">
        <v>66</v>
      </c>
      <c r="K133" s="330">
        <v>2</v>
      </c>
      <c r="L133" s="263"/>
      <c r="M133" s="318"/>
      <c r="N133" s="263"/>
      <c r="O133" s="369"/>
      <c r="P133" s="263" t="s">
        <v>1</v>
      </c>
      <c r="Q133" s="277">
        <f t="shared" si="7"/>
        <v>80000</v>
      </c>
      <c r="R133" s="278"/>
    </row>
    <row r="134" spans="1:18" s="354" customFormat="1" ht="18.95" customHeight="1">
      <c r="A134" s="254"/>
      <c r="B134" s="521"/>
      <c r="C134" s="539"/>
      <c r="D134" s="302"/>
      <c r="E134" s="270"/>
      <c r="F134" s="271"/>
      <c r="G134" s="417"/>
      <c r="H134" s="527" t="s">
        <v>196</v>
      </c>
      <c r="I134" s="278">
        <v>280000</v>
      </c>
      <c r="J134" s="263" t="s">
        <v>66</v>
      </c>
      <c r="K134" s="330">
        <v>2</v>
      </c>
      <c r="L134" s="263"/>
      <c r="M134" s="318"/>
      <c r="N134" s="263"/>
      <c r="O134" s="369"/>
      <c r="P134" s="263" t="s">
        <v>1</v>
      </c>
      <c r="Q134" s="277">
        <f t="shared" si="7"/>
        <v>560000</v>
      </c>
      <c r="R134" s="278"/>
    </row>
    <row r="135" spans="1:18" s="354" customFormat="1" ht="18.95" customHeight="1">
      <c r="A135" s="254"/>
      <c r="B135" s="521"/>
      <c r="C135" s="578"/>
      <c r="D135" s="302"/>
      <c r="E135" s="270"/>
      <c r="F135" s="271"/>
      <c r="G135" s="417"/>
      <c r="H135" s="286" t="s">
        <v>197</v>
      </c>
      <c r="I135" s="278">
        <v>500000</v>
      </c>
      <c r="J135" s="263" t="s">
        <v>66</v>
      </c>
      <c r="K135" s="330">
        <v>1</v>
      </c>
      <c r="L135" s="263"/>
      <c r="M135" s="318"/>
      <c r="N135" s="263"/>
      <c r="O135" s="369"/>
      <c r="P135" s="263" t="s">
        <v>1</v>
      </c>
      <c r="Q135" s="277">
        <f t="shared" si="7"/>
        <v>500000</v>
      </c>
      <c r="R135" s="278"/>
    </row>
    <row r="136" spans="1:18" s="354" customFormat="1" ht="18.95" customHeight="1">
      <c r="A136" s="254"/>
      <c r="B136" s="521"/>
      <c r="C136" s="578"/>
      <c r="D136" s="302"/>
      <c r="E136" s="270"/>
      <c r="F136" s="271"/>
      <c r="G136" s="417"/>
      <c r="H136" s="286" t="s">
        <v>383</v>
      </c>
      <c r="I136" s="278">
        <v>1000000</v>
      </c>
      <c r="J136" s="263" t="s">
        <v>66</v>
      </c>
      <c r="K136" s="330">
        <v>1</v>
      </c>
      <c r="L136" s="263"/>
      <c r="M136" s="318"/>
      <c r="N136" s="263"/>
      <c r="O136" s="369"/>
      <c r="P136" s="263" t="s">
        <v>1</v>
      </c>
      <c r="Q136" s="277">
        <f t="shared" si="7"/>
        <v>1000000</v>
      </c>
      <c r="R136" s="278"/>
    </row>
    <row r="137" spans="1:18" s="354" customFormat="1" ht="18.95" customHeight="1">
      <c r="A137" s="254"/>
      <c r="B137" s="521"/>
      <c r="C137" s="541" t="s">
        <v>198</v>
      </c>
      <c r="D137" s="257">
        <f>ROUND((8705940/1000),0)</f>
        <v>8706</v>
      </c>
      <c r="E137" s="257">
        <f>ROUND((Q137/1000),0)</f>
        <v>6000</v>
      </c>
      <c r="F137" s="258">
        <f>E137-D137</f>
        <v>-2706</v>
      </c>
      <c r="G137" s="414">
        <f>F137/D137</f>
        <v>-0.31082012405237769</v>
      </c>
      <c r="H137" s="398" t="s">
        <v>199</v>
      </c>
      <c r="I137" s="524"/>
      <c r="J137" s="261"/>
      <c r="K137" s="525"/>
      <c r="L137" s="261"/>
      <c r="M137" s="526"/>
      <c r="N137" s="261"/>
      <c r="O137" s="368"/>
      <c r="P137" s="261"/>
      <c r="Q137" s="264">
        <f>SUM(Q138:Q139)</f>
        <v>6000000</v>
      </c>
      <c r="R137" s="278"/>
    </row>
    <row r="138" spans="1:18" s="354" customFormat="1" ht="18.95" customHeight="1">
      <c r="A138" s="254"/>
      <c r="B138" s="521"/>
      <c r="C138" s="539"/>
      <c r="D138" s="302"/>
      <c r="E138" s="270"/>
      <c r="F138" s="271"/>
      <c r="G138" s="417"/>
      <c r="H138" s="286" t="s">
        <v>200</v>
      </c>
      <c r="I138" s="278">
        <v>3000000</v>
      </c>
      <c r="J138" s="263" t="s">
        <v>66</v>
      </c>
      <c r="K138" s="330">
        <v>1</v>
      </c>
      <c r="L138" s="263"/>
      <c r="M138" s="318"/>
      <c r="N138" s="263"/>
      <c r="O138" s="369"/>
      <c r="P138" s="263" t="s">
        <v>1</v>
      </c>
      <c r="Q138" s="277">
        <f t="shared" si="7"/>
        <v>3000000</v>
      </c>
      <c r="R138" s="278"/>
    </row>
    <row r="139" spans="1:18" s="354" customFormat="1" ht="18.95" customHeight="1">
      <c r="A139" s="254"/>
      <c r="B139" s="521"/>
      <c r="C139" s="294"/>
      <c r="D139" s="324"/>
      <c r="E139" s="325"/>
      <c r="F139" s="326"/>
      <c r="G139" s="423"/>
      <c r="H139" s="327" t="s">
        <v>201</v>
      </c>
      <c r="I139" s="328">
        <v>300000</v>
      </c>
      <c r="J139" s="331" t="s">
        <v>66</v>
      </c>
      <c r="K139" s="522">
        <v>10</v>
      </c>
      <c r="L139" s="331"/>
      <c r="M139" s="523"/>
      <c r="N139" s="331"/>
      <c r="O139" s="370"/>
      <c r="P139" s="331" t="s">
        <v>1</v>
      </c>
      <c r="Q139" s="371">
        <f t="shared" si="7"/>
        <v>3000000</v>
      </c>
      <c r="R139" s="278"/>
    </row>
    <row r="140" spans="1:18" s="354" customFormat="1" ht="18.95" customHeight="1">
      <c r="A140" s="254"/>
      <c r="B140" s="521"/>
      <c r="C140" s="541" t="s">
        <v>202</v>
      </c>
      <c r="D140" s="257">
        <f>ROUND((3000000/1000),0)</f>
        <v>3000</v>
      </c>
      <c r="E140" s="257">
        <f>ROUND((Q140/1000),0)</f>
        <v>1000</v>
      </c>
      <c r="F140" s="258">
        <f>E140-D140</f>
        <v>-2000</v>
      </c>
      <c r="G140" s="414">
        <f>F140/D140</f>
        <v>-0.66666666666666663</v>
      </c>
      <c r="H140" s="398" t="s">
        <v>203</v>
      </c>
      <c r="I140" s="524"/>
      <c r="J140" s="261"/>
      <c r="K140" s="525"/>
      <c r="L140" s="261"/>
      <c r="M140" s="526"/>
      <c r="N140" s="261"/>
      <c r="O140" s="368"/>
      <c r="P140" s="261"/>
      <c r="Q140" s="264">
        <f>SUM(Q141)</f>
        <v>1000000</v>
      </c>
      <c r="R140" s="278"/>
    </row>
    <row r="141" spans="1:18" s="354" customFormat="1" ht="18.95" customHeight="1">
      <c r="A141" s="254"/>
      <c r="B141" s="521"/>
      <c r="C141" s="294"/>
      <c r="D141" s="324"/>
      <c r="E141" s="325"/>
      <c r="F141" s="326"/>
      <c r="G141" s="423"/>
      <c r="H141" s="327" t="s">
        <v>204</v>
      </c>
      <c r="I141" s="328">
        <v>1000000</v>
      </c>
      <c r="J141" s="331" t="s">
        <v>66</v>
      </c>
      <c r="K141" s="522">
        <v>1</v>
      </c>
      <c r="L141" s="331"/>
      <c r="M141" s="523"/>
      <c r="N141" s="331"/>
      <c r="O141" s="370"/>
      <c r="P141" s="331" t="s">
        <v>1</v>
      </c>
      <c r="Q141" s="371">
        <f t="shared" si="7"/>
        <v>1000000</v>
      </c>
      <c r="R141" s="278"/>
    </row>
    <row r="142" spans="1:18" s="354" customFormat="1" ht="18.95" customHeight="1">
      <c r="A142" s="254"/>
      <c r="B142" s="521"/>
      <c r="C142" s="541" t="s">
        <v>205</v>
      </c>
      <c r="D142" s="257">
        <f>ROUND((500000/1000),0)</f>
        <v>500</v>
      </c>
      <c r="E142" s="257">
        <f>ROUND((Q142/1000),0)</f>
        <v>0</v>
      </c>
      <c r="F142" s="258">
        <f>E142-D142</f>
        <v>-500</v>
      </c>
      <c r="G142" s="414">
        <f>F142/D142</f>
        <v>-1</v>
      </c>
      <c r="H142" s="398" t="s">
        <v>203</v>
      </c>
      <c r="I142" s="524"/>
      <c r="J142" s="261"/>
      <c r="K142" s="525"/>
      <c r="L142" s="261"/>
      <c r="M142" s="526"/>
      <c r="N142" s="261"/>
      <c r="O142" s="368"/>
      <c r="P142" s="261"/>
      <c r="Q142" s="264">
        <f>SUM(Q143)</f>
        <v>0</v>
      </c>
      <c r="R142" s="278"/>
    </row>
    <row r="143" spans="1:18" s="354" customFormat="1" ht="18.95" customHeight="1">
      <c r="A143" s="254"/>
      <c r="B143" s="521"/>
      <c r="C143" s="294"/>
      <c r="D143" s="324"/>
      <c r="E143" s="325"/>
      <c r="F143" s="326"/>
      <c r="G143" s="423"/>
      <c r="H143" s="327" t="s">
        <v>206</v>
      </c>
      <c r="I143" s="328">
        <v>0</v>
      </c>
      <c r="J143" s="331" t="s">
        <v>66</v>
      </c>
      <c r="K143" s="522">
        <v>1</v>
      </c>
      <c r="L143" s="331"/>
      <c r="M143" s="523"/>
      <c r="N143" s="331"/>
      <c r="O143" s="370"/>
      <c r="P143" s="331" t="s">
        <v>1</v>
      </c>
      <c r="Q143" s="371">
        <f t="shared" si="7"/>
        <v>0</v>
      </c>
      <c r="R143" s="278"/>
    </row>
    <row r="144" spans="1:18" s="354" customFormat="1" ht="18.95" customHeight="1">
      <c r="A144" s="254"/>
      <c r="B144" s="521"/>
      <c r="C144" s="541" t="s">
        <v>207</v>
      </c>
      <c r="D144" s="257">
        <f>ROUND((8948000/1000),0)</f>
        <v>8948</v>
      </c>
      <c r="E144" s="257">
        <f>ROUND((Q144/1000),0)</f>
        <v>0</v>
      </c>
      <c r="F144" s="258">
        <f>E144-D144</f>
        <v>-8948</v>
      </c>
      <c r="G144" s="414">
        <f>F144/D144</f>
        <v>-1</v>
      </c>
      <c r="H144" s="398" t="s">
        <v>208</v>
      </c>
      <c r="I144" s="524"/>
      <c r="J144" s="261"/>
      <c r="K144" s="525"/>
      <c r="L144" s="261"/>
      <c r="M144" s="526"/>
      <c r="N144" s="261"/>
      <c r="O144" s="368"/>
      <c r="P144" s="261"/>
      <c r="Q144" s="264">
        <f>SUM(Q145:Q146)</f>
        <v>0</v>
      </c>
      <c r="R144" s="278"/>
    </row>
    <row r="145" spans="1:18" s="354" customFormat="1" ht="18.95" customHeight="1">
      <c r="A145" s="254"/>
      <c r="B145" s="521"/>
      <c r="C145" s="578"/>
      <c r="D145" s="302"/>
      <c r="E145" s="270"/>
      <c r="F145" s="271"/>
      <c r="G145" s="417"/>
      <c r="H145" s="286" t="s">
        <v>466</v>
      </c>
      <c r="I145" s="278">
        <v>0</v>
      </c>
      <c r="J145" s="263" t="s">
        <v>66</v>
      </c>
      <c r="K145" s="330">
        <v>1</v>
      </c>
      <c r="L145" s="263"/>
      <c r="M145" s="318"/>
      <c r="N145" s="263"/>
      <c r="O145" s="369"/>
      <c r="P145" s="263" t="s">
        <v>1</v>
      </c>
      <c r="Q145" s="277">
        <f t="shared" si="7"/>
        <v>0</v>
      </c>
      <c r="R145" s="278"/>
    </row>
    <row r="146" spans="1:18" s="354" customFormat="1" ht="18.95" customHeight="1">
      <c r="A146" s="254"/>
      <c r="B146" s="796" t="s">
        <v>465</v>
      </c>
      <c r="C146" s="797"/>
      <c r="D146" s="247">
        <f>SUM(D147:D148)</f>
        <v>0</v>
      </c>
      <c r="E146" s="247">
        <f>E147</f>
        <v>4560</v>
      </c>
      <c r="F146" s="248">
        <f>E146-D146</f>
        <v>4560</v>
      </c>
      <c r="G146" s="413">
        <f>F146/E146</f>
        <v>1</v>
      </c>
      <c r="H146" s="249"/>
      <c r="I146" s="250"/>
      <c r="J146" s="250"/>
      <c r="K146" s="250"/>
      <c r="L146" s="250"/>
      <c r="M146" s="250"/>
      <c r="N146" s="250"/>
      <c r="O146" s="250"/>
      <c r="P146" s="250"/>
      <c r="Q146" s="251"/>
      <c r="R146" s="278"/>
    </row>
    <row r="147" spans="1:18" s="354" customFormat="1" ht="21.75" customHeight="1">
      <c r="A147" s="254"/>
      <c r="B147" s="521"/>
      <c r="C147" s="794" t="s">
        <v>468</v>
      </c>
      <c r="D147" s="302">
        <v>0</v>
      </c>
      <c r="E147" s="257">
        <f>ROUND((Q147/1000),0)</f>
        <v>4560</v>
      </c>
      <c r="F147" s="258">
        <f>E147-D147</f>
        <v>4560</v>
      </c>
      <c r="G147" s="414">
        <f>F147/E147</f>
        <v>1</v>
      </c>
      <c r="H147" s="398" t="s">
        <v>467</v>
      </c>
      <c r="I147" s="278"/>
      <c r="J147" s="263"/>
      <c r="K147" s="330"/>
      <c r="L147" s="263"/>
      <c r="M147" s="318"/>
      <c r="N147" s="263"/>
      <c r="O147" s="369"/>
      <c r="P147" s="263"/>
      <c r="Q147" s="264">
        <f>SUM(Q148)</f>
        <v>4560000</v>
      </c>
      <c r="R147" s="278"/>
    </row>
    <row r="148" spans="1:18" s="354" customFormat="1" ht="18.95" customHeight="1">
      <c r="A148" s="254"/>
      <c r="B148" s="521"/>
      <c r="C148" s="795"/>
      <c r="D148" s="302"/>
      <c r="E148" s="270"/>
      <c r="F148" s="271"/>
      <c r="G148" s="417"/>
      <c r="H148" s="286" t="s">
        <v>384</v>
      </c>
      <c r="I148" s="278">
        <v>456000</v>
      </c>
      <c r="J148" s="263" t="s">
        <v>66</v>
      </c>
      <c r="K148" s="330">
        <v>10</v>
      </c>
      <c r="L148" s="263"/>
      <c r="M148" s="318"/>
      <c r="N148" s="263"/>
      <c r="O148" s="369"/>
      <c r="P148" s="263" t="s">
        <v>1</v>
      </c>
      <c r="Q148" s="277">
        <f t="shared" ref="Q148" si="8">I148*K148</f>
        <v>4560000</v>
      </c>
      <c r="R148" s="278"/>
    </row>
    <row r="149" spans="1:18" s="354" customFormat="1" ht="18.95" customHeight="1">
      <c r="A149" s="254"/>
      <c r="B149" s="796" t="s">
        <v>469</v>
      </c>
      <c r="C149" s="797"/>
      <c r="D149" s="247">
        <f>SUM(D150:D151)</f>
        <v>0</v>
      </c>
      <c r="E149" s="247">
        <f>E150</f>
        <v>10000</v>
      </c>
      <c r="F149" s="248">
        <f>E149-D149</f>
        <v>10000</v>
      </c>
      <c r="G149" s="413">
        <f>F149/E149</f>
        <v>1</v>
      </c>
      <c r="H149" s="249"/>
      <c r="I149" s="250"/>
      <c r="J149" s="250"/>
      <c r="K149" s="250"/>
      <c r="L149" s="250"/>
      <c r="M149" s="250"/>
      <c r="N149" s="250"/>
      <c r="O149" s="250"/>
      <c r="P149" s="250"/>
      <c r="Q149" s="251"/>
      <c r="R149" s="278"/>
    </row>
    <row r="150" spans="1:18" s="354" customFormat="1" ht="21.75" customHeight="1">
      <c r="A150" s="254"/>
      <c r="B150" s="521"/>
      <c r="C150" s="794" t="s">
        <v>470</v>
      </c>
      <c r="D150" s="257">
        <v>0</v>
      </c>
      <c r="E150" s="257">
        <f>ROUND((Q150/1000),0)</f>
        <v>10000</v>
      </c>
      <c r="F150" s="258">
        <f>E150-D150</f>
        <v>10000</v>
      </c>
      <c r="G150" s="414">
        <f>F150/E150</f>
        <v>1</v>
      </c>
      <c r="H150" s="398" t="s">
        <v>471</v>
      </c>
      <c r="I150" s="278"/>
      <c r="J150" s="263"/>
      <c r="K150" s="330"/>
      <c r="L150" s="263"/>
      <c r="M150" s="318"/>
      <c r="N150" s="263"/>
      <c r="O150" s="369"/>
      <c r="P150" s="263"/>
      <c r="Q150" s="264">
        <f>SUM(Q151)</f>
        <v>10000000</v>
      </c>
      <c r="R150" s="278"/>
    </row>
    <row r="151" spans="1:18" s="354" customFormat="1" ht="18.95" customHeight="1">
      <c r="A151" s="254"/>
      <c r="B151" s="521"/>
      <c r="C151" s="798"/>
      <c r="D151" s="302"/>
      <c r="E151" s="270"/>
      <c r="F151" s="271"/>
      <c r="G151" s="417"/>
      <c r="H151" s="286" t="s">
        <v>472</v>
      </c>
      <c r="I151" s="278">
        <v>50000</v>
      </c>
      <c r="J151" s="263" t="s">
        <v>66</v>
      </c>
      <c r="K151" s="330">
        <v>200</v>
      </c>
      <c r="L151" s="263"/>
      <c r="M151" s="318"/>
      <c r="N151" s="263"/>
      <c r="O151" s="369"/>
      <c r="P151" s="263" t="s">
        <v>1</v>
      </c>
      <c r="Q151" s="277">
        <f t="shared" ref="Q151" si="9">I151*K151</f>
        <v>10000000</v>
      </c>
      <c r="R151" s="278"/>
    </row>
    <row r="152" spans="1:18" s="354" customFormat="1" ht="18.95" customHeight="1">
      <c r="A152" s="254"/>
      <c r="B152" s="807" t="s">
        <v>323</v>
      </c>
      <c r="C152" s="808"/>
      <c r="D152" s="247">
        <f>SUM(D153:D160)</f>
        <v>20566</v>
      </c>
      <c r="E152" s="247">
        <f>SUM(E153:E160)</f>
        <v>40560</v>
      </c>
      <c r="F152" s="248">
        <f>E152-D152</f>
        <v>19994</v>
      </c>
      <c r="G152" s="413">
        <f>F152/D152</f>
        <v>0.97218710493046778</v>
      </c>
      <c r="H152" s="249"/>
      <c r="I152" s="250"/>
      <c r="J152" s="250"/>
      <c r="K152" s="250"/>
      <c r="L152" s="250"/>
      <c r="M152" s="250"/>
      <c r="N152" s="250"/>
      <c r="O152" s="250"/>
      <c r="P152" s="250"/>
      <c r="Q152" s="251"/>
      <c r="R152" s="278"/>
    </row>
    <row r="153" spans="1:18" s="354" customFormat="1" ht="26.25" customHeight="1">
      <c r="A153" s="254"/>
      <c r="B153" s="521"/>
      <c r="C153" s="541" t="s">
        <v>209</v>
      </c>
      <c r="D153" s="257">
        <f>ROUND((14558400/1000),0)</f>
        <v>14558</v>
      </c>
      <c r="E153" s="257">
        <f>ROUND((Q153/1000),0)</f>
        <v>28000</v>
      </c>
      <c r="F153" s="258">
        <f>E153-D153</f>
        <v>13442</v>
      </c>
      <c r="G153" s="414">
        <f>F153/D153</f>
        <v>0.92334111828547882</v>
      </c>
      <c r="H153" s="398" t="s">
        <v>210</v>
      </c>
      <c r="I153" s="524"/>
      <c r="J153" s="261"/>
      <c r="K153" s="525"/>
      <c r="L153" s="261"/>
      <c r="M153" s="526"/>
      <c r="N153" s="261"/>
      <c r="O153" s="368"/>
      <c r="P153" s="261"/>
      <c r="Q153" s="264">
        <f>SUM(Q154:Q155)</f>
        <v>28000000</v>
      </c>
      <c r="R153" s="278"/>
    </row>
    <row r="154" spans="1:18" s="354" customFormat="1" ht="18.95" customHeight="1">
      <c r="A154" s="254"/>
      <c r="B154" s="521"/>
      <c r="C154" s="539"/>
      <c r="D154" s="302"/>
      <c r="E154" s="270"/>
      <c r="F154" s="271"/>
      <c r="G154" s="417"/>
      <c r="H154" s="286" t="s">
        <v>211</v>
      </c>
      <c r="I154" s="278">
        <v>361111.11</v>
      </c>
      <c r="J154" s="263" t="s">
        <v>66</v>
      </c>
      <c r="K154" s="330">
        <v>12</v>
      </c>
      <c r="L154" s="263" t="s">
        <v>19</v>
      </c>
      <c r="M154" s="580">
        <v>3</v>
      </c>
      <c r="N154" s="263"/>
      <c r="O154" s="369"/>
      <c r="P154" s="263" t="s">
        <v>1</v>
      </c>
      <c r="Q154" s="277">
        <f>ROUND(I154*K154*M154,-1)</f>
        <v>13000000</v>
      </c>
      <c r="R154" s="278"/>
    </row>
    <row r="155" spans="1:18" s="354" customFormat="1" ht="18.95" customHeight="1">
      <c r="A155" s="254"/>
      <c r="B155" s="521"/>
      <c r="C155" s="294"/>
      <c r="D155" s="324"/>
      <c r="E155" s="325"/>
      <c r="F155" s="326"/>
      <c r="G155" s="423"/>
      <c r="H155" s="327" t="s">
        <v>212</v>
      </c>
      <c r="I155" s="328">
        <v>416666.6</v>
      </c>
      <c r="J155" s="331" t="s">
        <v>66</v>
      </c>
      <c r="K155" s="522">
        <v>12</v>
      </c>
      <c r="L155" s="263" t="s">
        <v>19</v>
      </c>
      <c r="M155" s="580">
        <v>3</v>
      </c>
      <c r="N155" s="331"/>
      <c r="O155" s="370"/>
      <c r="P155" s="331" t="s">
        <v>1</v>
      </c>
      <c r="Q155" s="371">
        <f>ROUND(I155*K155*M155,-1)</f>
        <v>15000000</v>
      </c>
      <c r="R155" s="278"/>
    </row>
    <row r="156" spans="1:18" s="354" customFormat="1" ht="18.95" customHeight="1">
      <c r="A156" s="254"/>
      <c r="B156" s="521"/>
      <c r="C156" s="541" t="s">
        <v>213</v>
      </c>
      <c r="D156" s="257">
        <f>ROUND((6008150/1000),0)</f>
        <v>6008</v>
      </c>
      <c r="E156" s="257">
        <f>ROUND((Q156/1000),0)</f>
        <v>12560</v>
      </c>
      <c r="F156" s="258">
        <f>E156-D156</f>
        <v>6552</v>
      </c>
      <c r="G156" s="414">
        <f>F156/D156</f>
        <v>1.0905459387483356</v>
      </c>
      <c r="H156" s="398" t="s">
        <v>214</v>
      </c>
      <c r="I156" s="524"/>
      <c r="J156" s="261"/>
      <c r="K156" s="525"/>
      <c r="L156" s="261"/>
      <c r="M156" s="526"/>
      <c r="N156" s="261"/>
      <c r="O156" s="368"/>
      <c r="P156" s="261"/>
      <c r="Q156" s="264">
        <f>SUM(Q157:Q160)</f>
        <v>12560000</v>
      </c>
      <c r="R156" s="278"/>
    </row>
    <row r="157" spans="1:18" s="354" customFormat="1" ht="18.95" customHeight="1">
      <c r="A157" s="254"/>
      <c r="B157" s="521"/>
      <c r="C157" s="539"/>
      <c r="D157" s="302"/>
      <c r="E157" s="270"/>
      <c r="F157" s="271"/>
      <c r="G157" s="417"/>
      <c r="H157" s="286" t="s">
        <v>215</v>
      </c>
      <c r="I157" s="278">
        <v>580000</v>
      </c>
      <c r="J157" s="263" t="s">
        <v>66</v>
      </c>
      <c r="K157" s="330">
        <v>12</v>
      </c>
      <c r="L157" s="263"/>
      <c r="M157" s="318"/>
      <c r="N157" s="263"/>
      <c r="O157" s="369"/>
      <c r="P157" s="263" t="s">
        <v>1</v>
      </c>
      <c r="Q157" s="277">
        <f t="shared" si="7"/>
        <v>6960000</v>
      </c>
      <c r="R157" s="278"/>
    </row>
    <row r="158" spans="1:18" s="354" customFormat="1" ht="18.95" customHeight="1">
      <c r="A158" s="254"/>
      <c r="B158" s="521"/>
      <c r="C158" s="539"/>
      <c r="D158" s="302"/>
      <c r="E158" s="270"/>
      <c r="F158" s="271"/>
      <c r="G158" s="417"/>
      <c r="H158" s="286" t="s">
        <v>216</v>
      </c>
      <c r="I158" s="278">
        <v>500000</v>
      </c>
      <c r="J158" s="263" t="s">
        <v>66</v>
      </c>
      <c r="K158" s="330">
        <v>2</v>
      </c>
      <c r="L158" s="263"/>
      <c r="M158" s="318"/>
      <c r="N158" s="263"/>
      <c r="O158" s="369"/>
      <c r="P158" s="263" t="s">
        <v>1</v>
      </c>
      <c r="Q158" s="277">
        <f t="shared" si="7"/>
        <v>1000000</v>
      </c>
      <c r="R158" s="278"/>
    </row>
    <row r="159" spans="1:18" s="354" customFormat="1" ht="18.95" customHeight="1">
      <c r="A159" s="254"/>
      <c r="B159" s="521"/>
      <c r="C159" s="539"/>
      <c r="D159" s="302"/>
      <c r="E159" s="270"/>
      <c r="F159" s="271"/>
      <c r="G159" s="417"/>
      <c r="H159" s="527" t="s">
        <v>217</v>
      </c>
      <c r="I159" s="278">
        <v>2000000</v>
      </c>
      <c r="J159" s="263" t="s">
        <v>66</v>
      </c>
      <c r="K159" s="330">
        <v>2</v>
      </c>
      <c r="L159" s="263"/>
      <c r="M159" s="318"/>
      <c r="N159" s="263"/>
      <c r="O159" s="369"/>
      <c r="P159" s="263" t="s">
        <v>1</v>
      </c>
      <c r="Q159" s="277">
        <f t="shared" si="7"/>
        <v>4000000</v>
      </c>
      <c r="R159" s="278"/>
    </row>
    <row r="160" spans="1:18" s="354" customFormat="1" ht="18.95" customHeight="1">
      <c r="A160" s="254"/>
      <c r="B160" s="521"/>
      <c r="C160" s="294"/>
      <c r="D160" s="324"/>
      <c r="E160" s="325"/>
      <c r="F160" s="326"/>
      <c r="G160" s="423"/>
      <c r="H160" s="327" t="s">
        <v>218</v>
      </c>
      <c r="I160" s="328">
        <v>300000</v>
      </c>
      <c r="J160" s="331" t="s">
        <v>66</v>
      </c>
      <c r="K160" s="522">
        <v>2</v>
      </c>
      <c r="L160" s="331"/>
      <c r="M160" s="523"/>
      <c r="N160" s="331"/>
      <c r="O160" s="370"/>
      <c r="P160" s="331" t="s">
        <v>1</v>
      </c>
      <c r="Q160" s="371">
        <f t="shared" si="7"/>
        <v>600000</v>
      </c>
      <c r="R160" s="278"/>
    </row>
    <row r="161" spans="1:18" s="354" customFormat="1" ht="18.95" customHeight="1">
      <c r="A161" s="254"/>
      <c r="B161" s="807" t="s">
        <v>428</v>
      </c>
      <c r="C161" s="808"/>
      <c r="D161" s="247">
        <f>SUM(D162:D173)</f>
        <v>60200</v>
      </c>
      <c r="E161" s="247">
        <f>SUM(E162:E173)</f>
        <v>57144</v>
      </c>
      <c r="F161" s="248">
        <f>E161-D161</f>
        <v>-3056</v>
      </c>
      <c r="G161" s="413">
        <f>F161/D161</f>
        <v>-5.0764119601328907E-2</v>
      </c>
      <c r="H161" s="249"/>
      <c r="I161" s="250"/>
      <c r="J161" s="250"/>
      <c r="K161" s="250"/>
      <c r="L161" s="250"/>
      <c r="M161" s="250"/>
      <c r="N161" s="250"/>
      <c r="O161" s="250"/>
      <c r="P161" s="250"/>
      <c r="Q161" s="251"/>
      <c r="R161" s="251"/>
    </row>
    <row r="162" spans="1:18" s="354" customFormat="1" ht="18.95" customHeight="1">
      <c r="A162" s="254"/>
      <c r="B162" s="521"/>
      <c r="C162" s="541" t="s">
        <v>219</v>
      </c>
      <c r="D162" s="257">
        <f>ROUND((6200000/1000),0)</f>
        <v>6200</v>
      </c>
      <c r="E162" s="257">
        <f>ROUND((Q162/1000),0)</f>
        <v>4000</v>
      </c>
      <c r="F162" s="258">
        <f>E162-D162</f>
        <v>-2200</v>
      </c>
      <c r="G162" s="414">
        <f>F162/D162</f>
        <v>-0.35483870967741937</v>
      </c>
      <c r="H162" s="398" t="s">
        <v>220</v>
      </c>
      <c r="I162" s="524"/>
      <c r="J162" s="261"/>
      <c r="K162" s="525"/>
      <c r="L162" s="261"/>
      <c r="M162" s="526"/>
      <c r="N162" s="261"/>
      <c r="O162" s="368"/>
      <c r="P162" s="261"/>
      <c r="Q162" s="264">
        <f>SUM(Q163:Q164)</f>
        <v>4000000</v>
      </c>
      <c r="R162" s="278"/>
    </row>
    <row r="163" spans="1:18" s="354" customFormat="1" ht="18.95" customHeight="1">
      <c r="A163" s="254"/>
      <c r="B163" s="521"/>
      <c r="C163" s="539"/>
      <c r="D163" s="302"/>
      <c r="E163" s="270"/>
      <c r="F163" s="271"/>
      <c r="G163" s="417"/>
      <c r="H163" s="286" t="s">
        <v>221</v>
      </c>
      <c r="I163" s="278">
        <v>2000000</v>
      </c>
      <c r="J163" s="263" t="s">
        <v>66</v>
      </c>
      <c r="K163" s="330">
        <v>1</v>
      </c>
      <c r="L163" s="263"/>
      <c r="M163" s="318"/>
      <c r="N163" s="263"/>
      <c r="O163" s="369"/>
      <c r="P163" s="263" t="s">
        <v>1</v>
      </c>
      <c r="Q163" s="277">
        <f t="shared" si="7"/>
        <v>2000000</v>
      </c>
      <c r="R163" s="278"/>
    </row>
    <row r="164" spans="1:18" s="354" customFormat="1" ht="18.95" customHeight="1">
      <c r="A164" s="254"/>
      <c r="B164" s="521"/>
      <c r="C164" s="294"/>
      <c r="D164" s="324"/>
      <c r="E164" s="325"/>
      <c r="F164" s="326"/>
      <c r="G164" s="423"/>
      <c r="H164" s="327" t="s">
        <v>222</v>
      </c>
      <c r="I164" s="328">
        <v>2000000</v>
      </c>
      <c r="J164" s="331" t="s">
        <v>66</v>
      </c>
      <c r="K164" s="522">
        <v>1</v>
      </c>
      <c r="L164" s="331"/>
      <c r="M164" s="523"/>
      <c r="N164" s="331"/>
      <c r="O164" s="370"/>
      <c r="P164" s="331" t="s">
        <v>1</v>
      </c>
      <c r="Q164" s="371">
        <f t="shared" si="7"/>
        <v>2000000</v>
      </c>
      <c r="R164" s="278"/>
    </row>
    <row r="165" spans="1:18" s="354" customFormat="1" ht="18.95" customHeight="1">
      <c r="A165" s="254"/>
      <c r="B165" s="521"/>
      <c r="C165" s="541" t="s">
        <v>223</v>
      </c>
      <c r="D165" s="257">
        <f>ROUND((6700000/1000),0)</f>
        <v>6700</v>
      </c>
      <c r="E165" s="257">
        <f>ROUND((Q165/1000),0)</f>
        <v>8200</v>
      </c>
      <c r="F165" s="258">
        <f>E165-D165</f>
        <v>1500</v>
      </c>
      <c r="G165" s="414">
        <f>F165/D165</f>
        <v>0.22388059701492538</v>
      </c>
      <c r="H165" s="398" t="s">
        <v>225</v>
      </c>
      <c r="I165" s="524"/>
      <c r="J165" s="261"/>
      <c r="K165" s="525"/>
      <c r="L165" s="261"/>
      <c r="M165" s="526"/>
      <c r="N165" s="261"/>
      <c r="O165" s="368"/>
      <c r="P165" s="261"/>
      <c r="Q165" s="264">
        <f>SUM(Q166:Q168)</f>
        <v>8200000</v>
      </c>
      <c r="R165" s="278"/>
    </row>
    <row r="166" spans="1:18" s="354" customFormat="1" ht="18.95" customHeight="1">
      <c r="A166" s="254"/>
      <c r="B166" s="521"/>
      <c r="C166" s="578"/>
      <c r="D166" s="302"/>
      <c r="E166" s="270"/>
      <c r="F166" s="271"/>
      <c r="G166" s="417"/>
      <c r="H166" s="286" t="s">
        <v>224</v>
      </c>
      <c r="I166" s="278">
        <v>500000</v>
      </c>
      <c r="J166" s="263" t="s">
        <v>66</v>
      </c>
      <c r="K166" s="330">
        <v>10</v>
      </c>
      <c r="L166" s="263"/>
      <c r="M166" s="318"/>
      <c r="N166" s="263"/>
      <c r="O166" s="369"/>
      <c r="P166" s="263" t="s">
        <v>1</v>
      </c>
      <c r="Q166" s="277">
        <f t="shared" si="7"/>
        <v>5000000</v>
      </c>
      <c r="R166" s="278"/>
    </row>
    <row r="167" spans="1:18" s="354" customFormat="1" ht="18.95" customHeight="1">
      <c r="A167" s="254"/>
      <c r="B167" s="521"/>
      <c r="C167" s="578"/>
      <c r="D167" s="302"/>
      <c r="E167" s="270"/>
      <c r="F167" s="271"/>
      <c r="G167" s="417"/>
      <c r="H167" s="286" t="s">
        <v>391</v>
      </c>
      <c r="I167" s="278">
        <v>200000</v>
      </c>
      <c r="J167" s="263" t="s">
        <v>66</v>
      </c>
      <c r="K167" s="330">
        <v>10</v>
      </c>
      <c r="L167" s="263"/>
      <c r="M167" s="318"/>
      <c r="N167" s="263"/>
      <c r="O167" s="369"/>
      <c r="P167" s="263" t="s">
        <v>1</v>
      </c>
      <c r="Q167" s="277">
        <f>ROUND(I167*K167,-1)</f>
        <v>2000000</v>
      </c>
      <c r="R167" s="278"/>
    </row>
    <row r="168" spans="1:18" s="354" customFormat="1" ht="18.95" customHeight="1">
      <c r="A168" s="254"/>
      <c r="B168" s="521"/>
      <c r="C168" s="578"/>
      <c r="D168" s="302"/>
      <c r="E168" s="270"/>
      <c r="F168" s="271"/>
      <c r="G168" s="417"/>
      <c r="H168" s="286" t="s">
        <v>392</v>
      </c>
      <c r="I168" s="278">
        <v>300000</v>
      </c>
      <c r="J168" s="331" t="s">
        <v>66</v>
      </c>
      <c r="K168" s="522">
        <v>4</v>
      </c>
      <c r="L168" s="331"/>
      <c r="M168" s="523"/>
      <c r="N168" s="331"/>
      <c r="O168" s="370"/>
      <c r="P168" s="331" t="s">
        <v>1</v>
      </c>
      <c r="Q168" s="371">
        <f>I168*K168</f>
        <v>1200000</v>
      </c>
      <c r="R168" s="278"/>
    </row>
    <row r="169" spans="1:18" s="354" customFormat="1" ht="18.95" customHeight="1">
      <c r="A169" s="254"/>
      <c r="B169" s="521"/>
      <c r="C169" s="541" t="s">
        <v>226</v>
      </c>
      <c r="D169" s="257">
        <f>ROUND((7040310/1000),0)</f>
        <v>7040</v>
      </c>
      <c r="E169" s="257">
        <f>ROUND((Q169/1000),0)</f>
        <v>6000</v>
      </c>
      <c r="F169" s="258">
        <f>E169-D169</f>
        <v>-1040</v>
      </c>
      <c r="G169" s="414">
        <f>F169/D169</f>
        <v>-0.14772727272727273</v>
      </c>
      <c r="H169" s="398" t="s">
        <v>227</v>
      </c>
      <c r="I169" s="524"/>
      <c r="J169" s="261"/>
      <c r="K169" s="525"/>
      <c r="L169" s="261"/>
      <c r="M169" s="526"/>
      <c r="N169" s="261"/>
      <c r="O169" s="368"/>
      <c r="P169" s="261"/>
      <c r="Q169" s="264">
        <f>SUM(Q170:Q171)</f>
        <v>6000000</v>
      </c>
      <c r="R169" s="278"/>
    </row>
    <row r="170" spans="1:18" s="354" customFormat="1" ht="18.95" customHeight="1">
      <c r="A170" s="254"/>
      <c r="B170" s="521"/>
      <c r="C170" s="539"/>
      <c r="D170" s="302"/>
      <c r="E170" s="270"/>
      <c r="F170" s="271"/>
      <c r="G170" s="417"/>
      <c r="H170" s="286" t="s">
        <v>228</v>
      </c>
      <c r="I170" s="278">
        <v>400000</v>
      </c>
      <c r="J170" s="263" t="s">
        <v>66</v>
      </c>
      <c r="K170" s="330">
        <v>8</v>
      </c>
      <c r="L170" s="263"/>
      <c r="M170" s="318"/>
      <c r="N170" s="263"/>
      <c r="O170" s="369"/>
      <c r="P170" s="263" t="s">
        <v>1</v>
      </c>
      <c r="Q170" s="277">
        <f>ROUND(I170*K170,-1)</f>
        <v>3200000</v>
      </c>
      <c r="R170" s="278"/>
    </row>
    <row r="171" spans="1:18" s="354" customFormat="1" ht="18.95" customHeight="1">
      <c r="A171" s="254"/>
      <c r="B171" s="521"/>
      <c r="C171" s="294"/>
      <c r="D171" s="324"/>
      <c r="E171" s="325"/>
      <c r="F171" s="326"/>
      <c r="G171" s="423"/>
      <c r="H171" s="327" t="s">
        <v>229</v>
      </c>
      <c r="I171" s="328">
        <v>400000</v>
      </c>
      <c r="J171" s="331" t="s">
        <v>66</v>
      </c>
      <c r="K171" s="522">
        <v>7</v>
      </c>
      <c r="L171" s="331"/>
      <c r="M171" s="523"/>
      <c r="N171" s="331"/>
      <c r="O171" s="370"/>
      <c r="P171" s="331" t="s">
        <v>1</v>
      </c>
      <c r="Q171" s="371">
        <f t="shared" si="7"/>
        <v>2800000</v>
      </c>
      <c r="R171" s="278"/>
    </row>
    <row r="172" spans="1:18" s="354" customFormat="1" ht="18.95" customHeight="1">
      <c r="A172" s="254"/>
      <c r="B172" s="521"/>
      <c r="C172" s="541" t="s">
        <v>230</v>
      </c>
      <c r="D172" s="257">
        <f>ROUND((40259690/1000),0)</f>
        <v>40260</v>
      </c>
      <c r="E172" s="257">
        <f>ROUND((Q172/1000),0)</f>
        <v>38944</v>
      </c>
      <c r="F172" s="258">
        <f>E172-D172</f>
        <v>-1316</v>
      </c>
      <c r="G172" s="414">
        <f>F172/D172</f>
        <v>-3.2687531048186787E-2</v>
      </c>
      <c r="H172" s="398" t="s">
        <v>231</v>
      </c>
      <c r="I172" s="524"/>
      <c r="J172" s="261"/>
      <c r="K172" s="525"/>
      <c r="L172" s="261"/>
      <c r="M172" s="526"/>
      <c r="N172" s="261"/>
      <c r="O172" s="368"/>
      <c r="P172" s="261"/>
      <c r="Q172" s="264">
        <f>SUM(Q173)</f>
        <v>38944000</v>
      </c>
      <c r="R172" s="278"/>
    </row>
    <row r="173" spans="1:18" s="354" customFormat="1" ht="18.95" customHeight="1">
      <c r="A173" s="254"/>
      <c r="B173" s="521"/>
      <c r="C173" s="294"/>
      <c r="D173" s="324"/>
      <c r="E173" s="325"/>
      <c r="F173" s="326"/>
      <c r="G173" s="423"/>
      <c r="H173" s="327" t="s">
        <v>232</v>
      </c>
      <c r="I173" s="328">
        <v>9736000</v>
      </c>
      <c r="J173" s="331" t="s">
        <v>66</v>
      </c>
      <c r="K173" s="522">
        <v>2</v>
      </c>
      <c r="L173" s="263" t="s">
        <v>19</v>
      </c>
      <c r="M173" s="580">
        <v>2</v>
      </c>
      <c r="N173" s="331"/>
      <c r="O173" s="370"/>
      <c r="P173" s="331" t="s">
        <v>1</v>
      </c>
      <c r="Q173" s="371">
        <f>ROUND(I173*K173*M173,-1)</f>
        <v>38944000</v>
      </c>
      <c r="R173" s="278"/>
    </row>
    <row r="174" spans="1:18" s="354" customFormat="1" ht="18.95" customHeight="1">
      <c r="A174" s="254"/>
      <c r="B174" s="807" t="s">
        <v>331</v>
      </c>
      <c r="C174" s="808"/>
      <c r="D174" s="247">
        <f>SUM(D175:D195)</f>
        <v>33071</v>
      </c>
      <c r="E174" s="247">
        <f>SUM(E175:E195)</f>
        <v>40644</v>
      </c>
      <c r="F174" s="248">
        <f>E174-D174</f>
        <v>7573</v>
      </c>
      <c r="G174" s="413">
        <f>F174/D174</f>
        <v>0.22899216836503281</v>
      </c>
      <c r="H174" s="249"/>
      <c r="I174" s="250"/>
      <c r="J174" s="250"/>
      <c r="K174" s="250"/>
      <c r="L174" s="250"/>
      <c r="M174" s="250"/>
      <c r="N174" s="250"/>
      <c r="O174" s="250"/>
      <c r="P174" s="250"/>
      <c r="Q174" s="251"/>
      <c r="R174" s="278"/>
    </row>
    <row r="175" spans="1:18" s="354" customFormat="1" ht="18.95" customHeight="1">
      <c r="A175" s="254"/>
      <c r="B175" s="521"/>
      <c r="C175" s="597" t="s">
        <v>233</v>
      </c>
      <c r="D175" s="257">
        <f>ROUND((2400000/1000),0)</f>
        <v>2400</v>
      </c>
      <c r="E175" s="257">
        <f>ROUND((Q175/1000),0)</f>
        <v>1200</v>
      </c>
      <c r="F175" s="258">
        <f>E175-D175</f>
        <v>-1200</v>
      </c>
      <c r="G175" s="414">
        <f>F175/D175</f>
        <v>-0.5</v>
      </c>
      <c r="H175" s="398" t="s">
        <v>234</v>
      </c>
      <c r="I175" s="524"/>
      <c r="J175" s="261"/>
      <c r="K175" s="525"/>
      <c r="L175" s="261"/>
      <c r="M175" s="526"/>
      <c r="N175" s="261"/>
      <c r="O175" s="368"/>
      <c r="P175" s="261"/>
      <c r="Q175" s="264">
        <f>SUM(Q176)</f>
        <v>1200000</v>
      </c>
      <c r="R175" s="278"/>
    </row>
    <row r="176" spans="1:18" s="354" customFormat="1" ht="18.95" customHeight="1">
      <c r="A176" s="254"/>
      <c r="B176" s="521"/>
      <c r="C176" s="598"/>
      <c r="D176" s="324"/>
      <c r="E176" s="325"/>
      <c r="F176" s="326"/>
      <c r="G176" s="423"/>
      <c r="H176" s="327" t="s">
        <v>236</v>
      </c>
      <c r="I176" s="328">
        <v>600000</v>
      </c>
      <c r="J176" s="331" t="s">
        <v>66</v>
      </c>
      <c r="K176" s="522">
        <v>2</v>
      </c>
      <c r="L176" s="331"/>
      <c r="M176" s="523"/>
      <c r="N176" s="331"/>
      <c r="O176" s="370"/>
      <c r="P176" s="331" t="s">
        <v>1</v>
      </c>
      <c r="Q176" s="371">
        <f t="shared" si="7"/>
        <v>1200000</v>
      </c>
      <c r="R176" s="278"/>
    </row>
    <row r="177" spans="1:18" s="354" customFormat="1" ht="18.95" customHeight="1">
      <c r="A177" s="254"/>
      <c r="B177" s="521"/>
      <c r="C177" s="597" t="s">
        <v>238</v>
      </c>
      <c r="D177" s="257">
        <f>ROUND((300000/1000),0)</f>
        <v>300</v>
      </c>
      <c r="E177" s="257">
        <f>ROUND((Q177/1000),0)</f>
        <v>500</v>
      </c>
      <c r="F177" s="258">
        <f>E177-D177</f>
        <v>200</v>
      </c>
      <c r="G177" s="414">
        <f>F177/D177</f>
        <v>0.66666666666666663</v>
      </c>
      <c r="H177" s="398" t="s">
        <v>235</v>
      </c>
      <c r="I177" s="524"/>
      <c r="J177" s="261"/>
      <c r="K177" s="525"/>
      <c r="L177" s="261"/>
      <c r="M177" s="526"/>
      <c r="N177" s="261"/>
      <c r="O177" s="368"/>
      <c r="P177" s="261"/>
      <c r="Q177" s="264">
        <f>SUM(Q178)</f>
        <v>500000</v>
      </c>
      <c r="R177" s="278"/>
    </row>
    <row r="178" spans="1:18" s="354" customFormat="1" ht="18.95" customHeight="1">
      <c r="A178" s="254"/>
      <c r="B178" s="521"/>
      <c r="C178" s="598"/>
      <c r="D178" s="324"/>
      <c r="E178" s="325"/>
      <c r="F178" s="326"/>
      <c r="G178" s="423"/>
      <c r="H178" s="528" t="s">
        <v>237</v>
      </c>
      <c r="I178" s="328">
        <v>250000</v>
      </c>
      <c r="J178" s="331" t="s">
        <v>66</v>
      </c>
      <c r="K178" s="522">
        <v>2</v>
      </c>
      <c r="L178" s="331"/>
      <c r="M178" s="523"/>
      <c r="N178" s="331"/>
      <c r="O178" s="370"/>
      <c r="P178" s="331" t="s">
        <v>1</v>
      </c>
      <c r="Q178" s="371">
        <f t="shared" si="7"/>
        <v>500000</v>
      </c>
      <c r="R178" s="278"/>
    </row>
    <row r="179" spans="1:18" s="354" customFormat="1" ht="18.95" customHeight="1">
      <c r="A179" s="254"/>
      <c r="B179" s="521"/>
      <c r="C179" s="597" t="s">
        <v>385</v>
      </c>
      <c r="D179" s="257">
        <v>0</v>
      </c>
      <c r="E179" s="257">
        <f>ROUND((Q179/1000),0)</f>
        <v>1000</v>
      </c>
      <c r="F179" s="258">
        <f>E179-D179</f>
        <v>1000</v>
      </c>
      <c r="G179" s="414" t="e">
        <f>F179/D179</f>
        <v>#DIV/0!</v>
      </c>
      <c r="H179" s="398" t="s">
        <v>387</v>
      </c>
      <c r="I179" s="524"/>
      <c r="J179" s="261"/>
      <c r="K179" s="525"/>
      <c r="L179" s="261"/>
      <c r="M179" s="526"/>
      <c r="N179" s="261"/>
      <c r="O179" s="368"/>
      <c r="P179" s="261"/>
      <c r="Q179" s="264">
        <f>SUM(Q180)</f>
        <v>1000000</v>
      </c>
      <c r="R179" s="278"/>
    </row>
    <row r="180" spans="1:18" s="354" customFormat="1" ht="18.95" customHeight="1">
      <c r="A180" s="254"/>
      <c r="B180" s="521"/>
      <c r="C180" s="598"/>
      <c r="D180" s="324"/>
      <c r="E180" s="325"/>
      <c r="F180" s="326"/>
      <c r="G180" s="423"/>
      <c r="H180" s="528" t="s">
        <v>386</v>
      </c>
      <c r="I180" s="328">
        <v>500000</v>
      </c>
      <c r="J180" s="331" t="s">
        <v>66</v>
      </c>
      <c r="K180" s="522">
        <v>2</v>
      </c>
      <c r="L180" s="331"/>
      <c r="M180" s="523"/>
      <c r="N180" s="331"/>
      <c r="O180" s="370"/>
      <c r="P180" s="331" t="s">
        <v>1</v>
      </c>
      <c r="Q180" s="371">
        <f t="shared" ref="Q180" si="10">I180*K180</f>
        <v>1000000</v>
      </c>
      <c r="R180" s="278"/>
    </row>
    <row r="181" spans="1:18" s="354" customFormat="1" ht="18.95" customHeight="1">
      <c r="A181" s="254"/>
      <c r="B181" s="521"/>
      <c r="C181" s="597" t="s">
        <v>239</v>
      </c>
      <c r="D181" s="257">
        <f>ROUND((25019980/1000),0)</f>
        <v>25020</v>
      </c>
      <c r="E181" s="257">
        <f>ROUND((Q181/1000),0)</f>
        <v>29044</v>
      </c>
      <c r="F181" s="258">
        <f>E181-D181</f>
        <v>4024</v>
      </c>
      <c r="G181" s="414">
        <f>F181/D181</f>
        <v>0.16083133493205434</v>
      </c>
      <c r="H181" s="398" t="s">
        <v>240</v>
      </c>
      <c r="I181" s="524"/>
      <c r="J181" s="261"/>
      <c r="K181" s="525"/>
      <c r="L181" s="261"/>
      <c r="M181" s="526"/>
      <c r="N181" s="261"/>
      <c r="O181" s="368"/>
      <c r="P181" s="261"/>
      <c r="Q181" s="264">
        <f>SUM(Q182:Q185)</f>
        <v>29044000</v>
      </c>
      <c r="R181" s="278"/>
    </row>
    <row r="182" spans="1:18" s="354" customFormat="1" ht="18.95" customHeight="1">
      <c r="A182" s="254"/>
      <c r="B182" s="521"/>
      <c r="C182" s="599"/>
      <c r="D182" s="302"/>
      <c r="E182" s="270"/>
      <c r="F182" s="271"/>
      <c r="G182" s="417"/>
      <c r="H182" s="286" t="s">
        <v>241</v>
      </c>
      <c r="I182" s="278">
        <v>600000</v>
      </c>
      <c r="J182" s="263" t="s">
        <v>66</v>
      </c>
      <c r="K182" s="330">
        <v>45</v>
      </c>
      <c r="L182" s="263"/>
      <c r="M182" s="318"/>
      <c r="N182" s="263"/>
      <c r="O182" s="369"/>
      <c r="P182" s="263" t="s">
        <v>1</v>
      </c>
      <c r="Q182" s="277">
        <f t="shared" si="7"/>
        <v>27000000</v>
      </c>
      <c r="R182" s="278"/>
    </row>
    <row r="183" spans="1:18" s="354" customFormat="1" ht="18.95" customHeight="1">
      <c r="A183" s="254"/>
      <c r="B183" s="521"/>
      <c r="C183" s="599"/>
      <c r="D183" s="302"/>
      <c r="E183" s="270"/>
      <c r="F183" s="271"/>
      <c r="G183" s="417"/>
      <c r="H183" s="286" t="s">
        <v>242</v>
      </c>
      <c r="I183" s="278">
        <v>37000</v>
      </c>
      <c r="J183" s="263" t="s">
        <v>66</v>
      </c>
      <c r="K183" s="330">
        <v>12</v>
      </c>
      <c r="L183" s="263"/>
      <c r="M183" s="318"/>
      <c r="N183" s="263"/>
      <c r="O183" s="369"/>
      <c r="P183" s="263" t="s">
        <v>1</v>
      </c>
      <c r="Q183" s="277">
        <f t="shared" si="7"/>
        <v>444000</v>
      </c>
      <c r="R183" s="278"/>
    </row>
    <row r="184" spans="1:18" s="354" customFormat="1" ht="18.95" customHeight="1">
      <c r="A184" s="254"/>
      <c r="B184" s="521"/>
      <c r="C184" s="599"/>
      <c r="D184" s="302"/>
      <c r="E184" s="270"/>
      <c r="F184" s="271"/>
      <c r="G184" s="417"/>
      <c r="H184" s="527" t="s">
        <v>243</v>
      </c>
      <c r="I184" s="278">
        <v>70000</v>
      </c>
      <c r="J184" s="263" t="s">
        <v>66</v>
      </c>
      <c r="K184" s="330">
        <v>20</v>
      </c>
      <c r="L184" s="263"/>
      <c r="M184" s="318"/>
      <c r="N184" s="263"/>
      <c r="O184" s="369"/>
      <c r="P184" s="263" t="s">
        <v>1</v>
      </c>
      <c r="Q184" s="277">
        <f t="shared" si="7"/>
        <v>1400000</v>
      </c>
      <c r="R184" s="278"/>
    </row>
    <row r="185" spans="1:18" s="354" customFormat="1" ht="18.95" customHeight="1">
      <c r="A185" s="254"/>
      <c r="B185" s="521"/>
      <c r="C185" s="598"/>
      <c r="D185" s="324"/>
      <c r="E185" s="325"/>
      <c r="F185" s="326"/>
      <c r="G185" s="423"/>
      <c r="H185" s="327" t="s">
        <v>244</v>
      </c>
      <c r="I185" s="328">
        <v>200000</v>
      </c>
      <c r="J185" s="331" t="s">
        <v>66</v>
      </c>
      <c r="K185" s="522">
        <v>1</v>
      </c>
      <c r="L185" s="331"/>
      <c r="M185" s="523"/>
      <c r="N185" s="331"/>
      <c r="O185" s="370"/>
      <c r="P185" s="331" t="s">
        <v>1</v>
      </c>
      <c r="Q185" s="371">
        <f t="shared" si="7"/>
        <v>200000</v>
      </c>
      <c r="R185" s="278"/>
    </row>
    <row r="186" spans="1:18" s="354" customFormat="1">
      <c r="A186" s="254"/>
      <c r="B186" s="521"/>
      <c r="C186" s="597" t="s">
        <v>245</v>
      </c>
      <c r="D186" s="257">
        <f>ROUND((675000/1000),0)</f>
        <v>675</v>
      </c>
      <c r="E186" s="257">
        <f>ROUND((Q186/1000),0)</f>
        <v>3000</v>
      </c>
      <c r="F186" s="258">
        <f>E186-D186</f>
        <v>2325</v>
      </c>
      <c r="G186" s="414">
        <f>F186/E186</f>
        <v>0.77500000000000002</v>
      </c>
      <c r="H186" s="398" t="s">
        <v>246</v>
      </c>
      <c r="I186" s="524"/>
      <c r="J186" s="261"/>
      <c r="K186" s="525"/>
      <c r="L186" s="261"/>
      <c r="M186" s="526"/>
      <c r="N186" s="261"/>
      <c r="O186" s="368"/>
      <c r="P186" s="261"/>
      <c r="Q186" s="264">
        <f>SUM(Q187)</f>
        <v>3000000</v>
      </c>
      <c r="R186" s="278"/>
    </row>
    <row r="187" spans="1:18" s="354" customFormat="1" ht="18.95" customHeight="1">
      <c r="A187" s="254"/>
      <c r="B187" s="521"/>
      <c r="C187" s="598"/>
      <c r="D187" s="324"/>
      <c r="E187" s="325"/>
      <c r="F187" s="326"/>
      <c r="G187" s="423"/>
      <c r="H187" s="528" t="s">
        <v>247</v>
      </c>
      <c r="I187" s="328">
        <v>50000</v>
      </c>
      <c r="J187" s="331" t="s">
        <v>66</v>
      </c>
      <c r="K187" s="522">
        <v>60</v>
      </c>
      <c r="L187" s="331"/>
      <c r="M187" s="523"/>
      <c r="N187" s="331"/>
      <c r="O187" s="370"/>
      <c r="P187" s="331" t="s">
        <v>1</v>
      </c>
      <c r="Q187" s="371">
        <f t="shared" si="7"/>
        <v>3000000</v>
      </c>
      <c r="R187" s="278"/>
    </row>
    <row r="188" spans="1:18" s="354" customFormat="1" ht="18.95" customHeight="1">
      <c r="A188" s="254"/>
      <c r="B188" s="521"/>
      <c r="C188" s="597" t="s">
        <v>388</v>
      </c>
      <c r="D188" s="257">
        <v>0</v>
      </c>
      <c r="E188" s="257">
        <f>ROUND((Q188/1000),0)</f>
        <v>300</v>
      </c>
      <c r="F188" s="258">
        <f>E188-D188</f>
        <v>300</v>
      </c>
      <c r="G188" s="414">
        <f>F188/E188</f>
        <v>1</v>
      </c>
      <c r="H188" s="398" t="s">
        <v>389</v>
      </c>
      <c r="I188" s="524"/>
      <c r="J188" s="261"/>
      <c r="K188" s="525"/>
      <c r="L188" s="261"/>
      <c r="M188" s="526"/>
      <c r="N188" s="261"/>
      <c r="O188" s="368"/>
      <c r="P188" s="261"/>
      <c r="Q188" s="264">
        <f>SUM(Q189)</f>
        <v>300000</v>
      </c>
      <c r="R188" s="278"/>
    </row>
    <row r="189" spans="1:18" s="354" customFormat="1" ht="18.95" customHeight="1">
      <c r="A189" s="254"/>
      <c r="B189" s="521"/>
      <c r="C189" s="598"/>
      <c r="D189" s="324"/>
      <c r="E189" s="325"/>
      <c r="F189" s="326"/>
      <c r="G189" s="423"/>
      <c r="H189" s="528" t="s">
        <v>390</v>
      </c>
      <c r="I189" s="328">
        <v>300000</v>
      </c>
      <c r="J189" s="331" t="s">
        <v>66</v>
      </c>
      <c r="K189" s="522">
        <v>1</v>
      </c>
      <c r="L189" s="331"/>
      <c r="M189" s="523"/>
      <c r="N189" s="331"/>
      <c r="O189" s="370"/>
      <c r="P189" s="331" t="s">
        <v>1</v>
      </c>
      <c r="Q189" s="371">
        <f t="shared" ref="Q189" si="11">I189*K189</f>
        <v>300000</v>
      </c>
      <c r="R189" s="278"/>
    </row>
    <row r="190" spans="1:18" s="354" customFormat="1" ht="18.95" customHeight="1">
      <c r="A190" s="254"/>
      <c r="B190" s="521"/>
      <c r="C190" s="597" t="s">
        <v>248</v>
      </c>
      <c r="D190" s="257">
        <f>ROUND((775500/1000),0)</f>
        <v>776</v>
      </c>
      <c r="E190" s="257">
        <f>ROUND((Q190/1000),0)</f>
        <v>4800</v>
      </c>
      <c r="F190" s="258">
        <f>E190-D190</f>
        <v>4024</v>
      </c>
      <c r="G190" s="414">
        <f>F190/D190</f>
        <v>5.1855670103092786</v>
      </c>
      <c r="H190" s="398" t="s">
        <v>249</v>
      </c>
      <c r="I190" s="524"/>
      <c r="J190" s="261"/>
      <c r="K190" s="525"/>
      <c r="L190" s="261"/>
      <c r="M190" s="526"/>
      <c r="N190" s="261"/>
      <c r="O190" s="368"/>
      <c r="P190" s="261"/>
      <c r="Q190" s="264">
        <f>SUM(Q191)</f>
        <v>4800000</v>
      </c>
      <c r="R190" s="278"/>
    </row>
    <row r="191" spans="1:18" s="354" customFormat="1" ht="18.95" customHeight="1">
      <c r="A191" s="254"/>
      <c r="B191" s="521"/>
      <c r="C191" s="598"/>
      <c r="D191" s="324"/>
      <c r="E191" s="325"/>
      <c r="F191" s="326"/>
      <c r="G191" s="423"/>
      <c r="H191" s="528" t="s">
        <v>250</v>
      </c>
      <c r="I191" s="328">
        <v>400000</v>
      </c>
      <c r="J191" s="331" t="s">
        <v>66</v>
      </c>
      <c r="K191" s="522">
        <v>12</v>
      </c>
      <c r="L191" s="331"/>
      <c r="M191" s="523"/>
      <c r="N191" s="331"/>
      <c r="O191" s="370"/>
      <c r="P191" s="331" t="s">
        <v>1</v>
      </c>
      <c r="Q191" s="371">
        <f>ROUND(I191*K191,-1)</f>
        <v>4800000</v>
      </c>
      <c r="R191" s="278"/>
    </row>
    <row r="192" spans="1:18" s="354" customFormat="1" ht="18.95" customHeight="1">
      <c r="A192" s="254"/>
      <c r="B192" s="521"/>
      <c r="C192" s="597" t="s">
        <v>251</v>
      </c>
      <c r="D192" s="257">
        <f>ROUND((800000/1000),0)</f>
        <v>800</v>
      </c>
      <c r="E192" s="257">
        <f>ROUND((Q192/1000),0)</f>
        <v>800</v>
      </c>
      <c r="F192" s="258">
        <f>E192-D192</f>
        <v>0</v>
      </c>
      <c r="G192" s="414">
        <f>F192/D192</f>
        <v>0</v>
      </c>
      <c r="H192" s="398" t="s">
        <v>252</v>
      </c>
      <c r="I192" s="524"/>
      <c r="J192" s="261"/>
      <c r="K192" s="525"/>
      <c r="L192" s="261"/>
      <c r="M192" s="526"/>
      <c r="N192" s="261"/>
      <c r="O192" s="368"/>
      <c r="P192" s="261"/>
      <c r="Q192" s="264">
        <f>SUM(Q193)</f>
        <v>800000</v>
      </c>
      <c r="R192" s="278"/>
    </row>
    <row r="193" spans="1:18" s="354" customFormat="1" ht="18.95" customHeight="1">
      <c r="A193" s="254"/>
      <c r="B193" s="521"/>
      <c r="C193" s="294"/>
      <c r="D193" s="324"/>
      <c r="E193" s="325"/>
      <c r="F193" s="326"/>
      <c r="G193" s="423"/>
      <c r="H193" s="528" t="s">
        <v>253</v>
      </c>
      <c r="I193" s="328">
        <v>80000</v>
      </c>
      <c r="J193" s="331" t="s">
        <v>66</v>
      </c>
      <c r="K193" s="522">
        <v>10</v>
      </c>
      <c r="L193" s="331"/>
      <c r="M193" s="523"/>
      <c r="N193" s="331"/>
      <c r="O193" s="370"/>
      <c r="P193" s="331" t="s">
        <v>1</v>
      </c>
      <c r="Q193" s="371">
        <f t="shared" si="7"/>
        <v>800000</v>
      </c>
      <c r="R193" s="278"/>
    </row>
    <row r="194" spans="1:18" s="354" customFormat="1" ht="27">
      <c r="A194" s="254"/>
      <c r="B194" s="521"/>
      <c r="C194" s="541" t="s">
        <v>256</v>
      </c>
      <c r="D194" s="257">
        <f>ROUND((3100000/1000),0)</f>
        <v>3100</v>
      </c>
      <c r="E194" s="257">
        <f>ROUND((Q194/1000),0)</f>
        <v>0</v>
      </c>
      <c r="F194" s="258">
        <f>E194-D194</f>
        <v>-3100</v>
      </c>
      <c r="G194" s="414">
        <f>F194/D194</f>
        <v>-1</v>
      </c>
      <c r="H194" s="398" t="s">
        <v>254</v>
      </c>
      <c r="I194" s="524"/>
      <c r="J194" s="261"/>
      <c r="K194" s="525"/>
      <c r="L194" s="261"/>
      <c r="M194" s="526"/>
      <c r="N194" s="261"/>
      <c r="O194" s="368"/>
      <c r="P194" s="261"/>
      <c r="Q194" s="264">
        <f>SUM(Q195)</f>
        <v>0</v>
      </c>
      <c r="R194" s="278"/>
    </row>
    <row r="195" spans="1:18" s="354" customFormat="1" ht="18.95" customHeight="1">
      <c r="A195" s="254"/>
      <c r="B195" s="521"/>
      <c r="C195" s="294"/>
      <c r="D195" s="324"/>
      <c r="E195" s="325"/>
      <c r="F195" s="326"/>
      <c r="G195" s="423"/>
      <c r="H195" s="528" t="s">
        <v>255</v>
      </c>
      <c r="I195" s="328">
        <v>0</v>
      </c>
      <c r="J195" s="331" t="s">
        <v>66</v>
      </c>
      <c r="K195" s="522">
        <v>1</v>
      </c>
      <c r="L195" s="331"/>
      <c r="M195" s="523"/>
      <c r="N195" s="331"/>
      <c r="O195" s="370"/>
      <c r="P195" s="331" t="s">
        <v>1</v>
      </c>
      <c r="Q195" s="371">
        <f t="shared" ref="Q195" si="12">I195*K195</f>
        <v>0</v>
      </c>
      <c r="R195" s="278"/>
    </row>
    <row r="196" spans="1:18" s="354" customFormat="1" ht="18.95" customHeight="1">
      <c r="A196" s="254"/>
      <c r="B196" s="807" t="s">
        <v>431</v>
      </c>
      <c r="C196" s="808"/>
      <c r="D196" s="247">
        <f>SUM(D197:D210)</f>
        <v>1715641</v>
      </c>
      <c r="E196" s="247">
        <f>SUM(E197:E210)</f>
        <v>1952321</v>
      </c>
      <c r="F196" s="248">
        <f>E196-D196</f>
        <v>236680</v>
      </c>
      <c r="G196" s="413">
        <f>F196/D196</f>
        <v>0.13795426898750962</v>
      </c>
      <c r="H196" s="249"/>
      <c r="I196" s="250"/>
      <c r="J196" s="250"/>
      <c r="K196" s="250"/>
      <c r="L196" s="250"/>
      <c r="M196" s="250"/>
      <c r="N196" s="250"/>
      <c r="O196" s="250"/>
      <c r="P196" s="250"/>
      <c r="Q196" s="251"/>
      <c r="R196" s="278"/>
    </row>
    <row r="197" spans="1:18" s="354" customFormat="1" ht="18.95" customHeight="1">
      <c r="A197" s="254"/>
      <c r="B197" s="521"/>
      <c r="C197" s="597" t="s">
        <v>295</v>
      </c>
      <c r="D197" s="257">
        <f>ROUND((1500467398/1000),0)</f>
        <v>1500467</v>
      </c>
      <c r="E197" s="257">
        <f>ROUND((Q197/1000),0)</f>
        <v>1661840</v>
      </c>
      <c r="F197" s="258">
        <f>E197-D197</f>
        <v>161373</v>
      </c>
      <c r="G197" s="531">
        <f>F197/D197</f>
        <v>0.10754851656184375</v>
      </c>
      <c r="H197" s="398" t="s">
        <v>298</v>
      </c>
      <c r="I197" s="524"/>
      <c r="J197" s="261"/>
      <c r="K197" s="525"/>
      <c r="L197" s="261"/>
      <c r="M197" s="526"/>
      <c r="N197" s="261"/>
      <c r="O197" s="368"/>
      <c r="P197" s="261"/>
      <c r="Q197" s="264">
        <f>SUM(Q198:Q199)</f>
        <v>1661840000.04</v>
      </c>
      <c r="R197" s="278"/>
    </row>
    <row r="198" spans="1:18" s="354" customFormat="1" ht="18.95" customHeight="1">
      <c r="A198" s="254"/>
      <c r="B198" s="521"/>
      <c r="C198" s="599"/>
      <c r="D198" s="302"/>
      <c r="E198" s="270"/>
      <c r="F198" s="271"/>
      <c r="G198" s="417"/>
      <c r="H198" s="527" t="s">
        <v>258</v>
      </c>
      <c r="I198" s="278">
        <v>133436666.67</v>
      </c>
      <c r="J198" s="263" t="s">
        <v>66</v>
      </c>
      <c r="K198" s="330">
        <v>12</v>
      </c>
      <c r="L198" s="263"/>
      <c r="M198" s="318"/>
      <c r="N198" s="263"/>
      <c r="O198" s="369"/>
      <c r="P198" s="263" t="s">
        <v>1</v>
      </c>
      <c r="Q198" s="277">
        <f>I198*K198</f>
        <v>1601240000.04</v>
      </c>
      <c r="R198" s="278"/>
    </row>
    <row r="199" spans="1:18" s="354" customFormat="1" ht="18.95" customHeight="1">
      <c r="A199" s="254"/>
      <c r="B199" s="521"/>
      <c r="C199" s="599"/>
      <c r="D199" s="302"/>
      <c r="E199" s="270"/>
      <c r="F199" s="271"/>
      <c r="G199" s="417"/>
      <c r="H199" s="528" t="s">
        <v>297</v>
      </c>
      <c r="I199" s="328">
        <v>30300000</v>
      </c>
      <c r="J199" s="331" t="s">
        <v>66</v>
      </c>
      <c r="K199" s="522">
        <v>2</v>
      </c>
      <c r="L199" s="331"/>
      <c r="M199" s="523"/>
      <c r="N199" s="331"/>
      <c r="O199" s="370"/>
      <c r="P199" s="331" t="s">
        <v>1</v>
      </c>
      <c r="Q199" s="371">
        <f>ROUND(I199*K199,-1)</f>
        <v>60600000</v>
      </c>
      <c r="R199" s="278"/>
    </row>
    <row r="200" spans="1:18" s="354" customFormat="1" ht="18.95" customHeight="1">
      <c r="A200" s="254"/>
      <c r="B200" s="521"/>
      <c r="C200" s="599" t="s">
        <v>296</v>
      </c>
      <c r="D200" s="257">
        <f>ROUND((215174410/1000),0)</f>
        <v>215174</v>
      </c>
      <c r="E200" s="257">
        <f>ROUND((Q200/1000),0)</f>
        <v>290481</v>
      </c>
      <c r="F200" s="258">
        <f>E200-D200</f>
        <v>75307</v>
      </c>
      <c r="G200" s="531">
        <f>F200/D200</f>
        <v>0.34998187513361279</v>
      </c>
      <c r="H200" s="581" t="s">
        <v>302</v>
      </c>
      <c r="I200" s="278"/>
      <c r="J200" s="263"/>
      <c r="K200" s="330"/>
      <c r="L200" s="263"/>
      <c r="M200" s="318"/>
      <c r="N200" s="263"/>
      <c r="O200" s="369"/>
      <c r="P200" s="263"/>
      <c r="Q200" s="313">
        <f>SUM(Q201:Q210)</f>
        <v>290480640</v>
      </c>
      <c r="R200" s="278"/>
    </row>
    <row r="201" spans="1:18" s="354" customFormat="1" ht="18.95" customHeight="1">
      <c r="A201" s="254"/>
      <c r="B201" s="521"/>
      <c r="C201" s="539"/>
      <c r="D201" s="302"/>
      <c r="E201" s="270"/>
      <c r="F201" s="271"/>
      <c r="G201" s="417"/>
      <c r="H201" s="543" t="s">
        <v>299</v>
      </c>
      <c r="I201" s="278">
        <v>1780640</v>
      </c>
      <c r="J201" s="263" t="s">
        <v>66</v>
      </c>
      <c r="K201" s="330">
        <v>1</v>
      </c>
      <c r="L201" s="263"/>
      <c r="M201" s="318"/>
      <c r="N201" s="263"/>
      <c r="O201" s="369"/>
      <c r="P201" s="263" t="s">
        <v>1</v>
      </c>
      <c r="Q201" s="277">
        <f>ROUND(I201*K201,-1)</f>
        <v>1780640</v>
      </c>
      <c r="R201" s="278"/>
    </row>
    <row r="202" spans="1:18" s="354" customFormat="1" ht="18.95" customHeight="1">
      <c r="A202" s="254"/>
      <c r="B202" s="521"/>
      <c r="C202" s="539"/>
      <c r="D202" s="302"/>
      <c r="E202" s="270"/>
      <c r="F202" s="271"/>
      <c r="G202" s="417"/>
      <c r="H202" s="543" t="s">
        <v>300</v>
      </c>
      <c r="I202" s="278">
        <v>9000000</v>
      </c>
      <c r="J202" s="263" t="s">
        <v>66</v>
      </c>
      <c r="K202" s="330">
        <v>12</v>
      </c>
      <c r="L202" s="263"/>
      <c r="M202" s="318"/>
      <c r="N202" s="263"/>
      <c r="O202" s="369"/>
      <c r="P202" s="263" t="s">
        <v>1</v>
      </c>
      <c r="Q202" s="277">
        <f t="shared" ref="Q202:Q207" si="13">ROUND(I202*K202,-1)</f>
        <v>108000000</v>
      </c>
      <c r="R202" s="278"/>
    </row>
    <row r="203" spans="1:18" s="354" customFormat="1" ht="18.95" customHeight="1">
      <c r="A203" s="254"/>
      <c r="B203" s="521"/>
      <c r="C203" s="539"/>
      <c r="D203" s="302"/>
      <c r="E203" s="270"/>
      <c r="F203" s="271"/>
      <c r="G203" s="417"/>
      <c r="H203" s="543" t="s">
        <v>301</v>
      </c>
      <c r="I203" s="278">
        <v>10000000</v>
      </c>
      <c r="J203" s="263" t="s">
        <v>66</v>
      </c>
      <c r="K203" s="330">
        <v>12</v>
      </c>
      <c r="L203" s="263"/>
      <c r="M203" s="318"/>
      <c r="N203" s="263"/>
      <c r="O203" s="369"/>
      <c r="P203" s="263" t="s">
        <v>1</v>
      </c>
      <c r="Q203" s="277">
        <f t="shared" si="13"/>
        <v>120000000</v>
      </c>
      <c r="R203" s="278"/>
    </row>
    <row r="204" spans="1:18" s="354" customFormat="1" ht="18.95" customHeight="1">
      <c r="A204" s="254"/>
      <c r="B204" s="521"/>
      <c r="C204" s="539"/>
      <c r="D204" s="302"/>
      <c r="E204" s="270"/>
      <c r="F204" s="271"/>
      <c r="G204" s="417"/>
      <c r="H204" s="544" t="s">
        <v>303</v>
      </c>
      <c r="I204" s="278"/>
      <c r="J204" s="263"/>
      <c r="K204" s="330"/>
      <c r="L204" s="263"/>
      <c r="M204" s="318"/>
      <c r="N204" s="263"/>
      <c r="O204" s="369"/>
      <c r="P204" s="263"/>
      <c r="Q204" s="277"/>
      <c r="R204" s="278"/>
    </row>
    <row r="205" spans="1:18" s="354" customFormat="1" ht="18.95" customHeight="1">
      <c r="A205" s="254"/>
      <c r="B205" s="521"/>
      <c r="C205" s="539"/>
      <c r="D205" s="302"/>
      <c r="E205" s="270"/>
      <c r="F205" s="271"/>
      <c r="G205" s="417"/>
      <c r="H205" s="543" t="s">
        <v>304</v>
      </c>
      <c r="I205" s="278">
        <v>200000</v>
      </c>
      <c r="J205" s="263" t="s">
        <v>66</v>
      </c>
      <c r="K205" s="274">
        <v>80</v>
      </c>
      <c r="L205" s="263"/>
      <c r="M205" s="318"/>
      <c r="N205" s="263"/>
      <c r="O205" s="369"/>
      <c r="P205" s="263" t="s">
        <v>1</v>
      </c>
      <c r="Q205" s="277">
        <f t="shared" si="13"/>
        <v>16000000</v>
      </c>
      <c r="R205" s="278"/>
    </row>
    <row r="206" spans="1:18" s="354" customFormat="1" ht="18.95" customHeight="1">
      <c r="A206" s="254"/>
      <c r="B206" s="521"/>
      <c r="C206" s="539"/>
      <c r="D206" s="302"/>
      <c r="E206" s="270"/>
      <c r="F206" s="271"/>
      <c r="G206" s="417"/>
      <c r="H206" s="543" t="s">
        <v>305</v>
      </c>
      <c r="I206" s="278">
        <v>222580.65</v>
      </c>
      <c r="J206" s="263" t="s">
        <v>66</v>
      </c>
      <c r="K206" s="274">
        <v>62</v>
      </c>
      <c r="L206" s="263"/>
      <c r="M206" s="318"/>
      <c r="N206" s="263"/>
      <c r="O206" s="369"/>
      <c r="P206" s="263" t="s">
        <v>1</v>
      </c>
      <c r="Q206" s="277">
        <f t="shared" si="13"/>
        <v>13800000</v>
      </c>
      <c r="R206" s="278"/>
    </row>
    <row r="207" spans="1:18" s="354" customFormat="1" ht="18.95" customHeight="1">
      <c r="A207" s="254"/>
      <c r="B207" s="521"/>
      <c r="C207" s="539"/>
      <c r="D207" s="302"/>
      <c r="E207" s="270"/>
      <c r="F207" s="271"/>
      <c r="G207" s="417"/>
      <c r="H207" s="543" t="s">
        <v>306</v>
      </c>
      <c r="I207" s="278">
        <v>193636.36</v>
      </c>
      <c r="J207" s="263" t="s">
        <v>66</v>
      </c>
      <c r="K207" s="274">
        <v>110</v>
      </c>
      <c r="L207" s="263"/>
      <c r="M207" s="318"/>
      <c r="N207" s="263"/>
      <c r="O207" s="369"/>
      <c r="P207" s="263" t="s">
        <v>1</v>
      </c>
      <c r="Q207" s="277">
        <f t="shared" si="13"/>
        <v>21300000</v>
      </c>
      <c r="R207" s="278"/>
    </row>
    <row r="208" spans="1:18" s="354" customFormat="1" ht="18.95" customHeight="1">
      <c r="A208" s="254"/>
      <c r="B208" s="521"/>
      <c r="C208" s="539"/>
      <c r="D208" s="302"/>
      <c r="E208" s="270"/>
      <c r="F208" s="271"/>
      <c r="G208" s="417"/>
      <c r="H208" s="544" t="s">
        <v>393</v>
      </c>
      <c r="I208" s="278"/>
      <c r="J208" s="263"/>
      <c r="K208" s="330"/>
      <c r="L208" s="263"/>
      <c r="M208" s="318"/>
      <c r="N208" s="263"/>
      <c r="O208" s="369"/>
      <c r="P208" s="263"/>
      <c r="Q208" s="277"/>
      <c r="R208" s="278"/>
    </row>
    <row r="209" spans="1:18" s="354" customFormat="1" ht="18.95" customHeight="1">
      <c r="A209" s="254"/>
      <c r="B209" s="521"/>
      <c r="C209" s="539"/>
      <c r="D209" s="302"/>
      <c r="E209" s="270"/>
      <c r="F209" s="271"/>
      <c r="G209" s="417"/>
      <c r="H209" s="542" t="s">
        <v>307</v>
      </c>
      <c r="I209" s="278">
        <v>300000</v>
      </c>
      <c r="J209" s="263" t="s">
        <v>66</v>
      </c>
      <c r="K209" s="330">
        <v>12</v>
      </c>
      <c r="L209" s="263"/>
      <c r="M209" s="318"/>
      <c r="N209" s="263"/>
      <c r="O209" s="369"/>
      <c r="P209" s="263" t="s">
        <v>1</v>
      </c>
      <c r="Q209" s="277">
        <f>ROUND(I209*K209,-1)</f>
        <v>3600000</v>
      </c>
      <c r="R209" s="278"/>
    </row>
    <row r="210" spans="1:18" s="354" customFormat="1" ht="18.95" customHeight="1">
      <c r="A210" s="254"/>
      <c r="B210" s="521"/>
      <c r="C210" s="578"/>
      <c r="D210" s="302"/>
      <c r="E210" s="270"/>
      <c r="F210" s="271"/>
      <c r="G210" s="417"/>
      <c r="H210" s="527" t="s">
        <v>394</v>
      </c>
      <c r="I210" s="278">
        <v>500000</v>
      </c>
      <c r="J210" s="263" t="s">
        <v>66</v>
      </c>
      <c r="K210" s="330">
        <v>12</v>
      </c>
      <c r="L210" s="263"/>
      <c r="M210" s="318"/>
      <c r="N210" s="263"/>
      <c r="O210" s="369"/>
      <c r="P210" s="263" t="s">
        <v>1</v>
      </c>
      <c r="Q210" s="277">
        <f>ROUND(I210*K210,-1)</f>
        <v>6000000</v>
      </c>
      <c r="R210" s="278"/>
    </row>
    <row r="211" spans="1:18" s="354" customFormat="1" ht="18.95" customHeight="1">
      <c r="A211" s="254"/>
      <c r="B211" s="807" t="s">
        <v>430</v>
      </c>
      <c r="C211" s="808"/>
      <c r="D211" s="247">
        <f>SUM(D212:D213)</f>
        <v>39720</v>
      </c>
      <c r="E211" s="247">
        <f>SUM(E212:E213)</f>
        <v>49800</v>
      </c>
      <c r="F211" s="248">
        <f>E211-D211</f>
        <v>10080</v>
      </c>
      <c r="G211" s="413">
        <f>F211/D211</f>
        <v>0.25377643504531722</v>
      </c>
      <c r="H211" s="249"/>
      <c r="I211" s="250"/>
      <c r="J211" s="250"/>
      <c r="K211" s="250"/>
      <c r="L211" s="250"/>
      <c r="M211" s="250"/>
      <c r="N211" s="250"/>
      <c r="O211" s="250"/>
      <c r="P211" s="250"/>
      <c r="Q211" s="251"/>
      <c r="R211" s="278"/>
    </row>
    <row r="212" spans="1:18" s="354" customFormat="1" ht="18.95" customHeight="1">
      <c r="A212" s="254"/>
      <c r="B212" s="521"/>
      <c r="C212" s="597" t="s">
        <v>257</v>
      </c>
      <c r="D212" s="257">
        <f>ROUND((39720000/1000),0)</f>
        <v>39720</v>
      </c>
      <c r="E212" s="257">
        <f>ROUND((Q212/1000),0)</f>
        <v>49800</v>
      </c>
      <c r="F212" s="258">
        <f>E212-D212</f>
        <v>10080</v>
      </c>
      <c r="G212" s="414">
        <f>F212/D212</f>
        <v>0.25377643504531722</v>
      </c>
      <c r="H212" s="398" t="s">
        <v>259</v>
      </c>
      <c r="I212" s="524"/>
      <c r="J212" s="261"/>
      <c r="K212" s="525"/>
      <c r="L212" s="261"/>
      <c r="M212" s="526"/>
      <c r="N212" s="261"/>
      <c r="O212" s="368"/>
      <c r="P212" s="261"/>
      <c r="Q212" s="264">
        <f>SUM(Q213)</f>
        <v>49800000</v>
      </c>
      <c r="R212" s="278"/>
    </row>
    <row r="213" spans="1:18" s="354" customFormat="1" ht="18.95" customHeight="1">
      <c r="A213" s="254"/>
      <c r="B213" s="521"/>
      <c r="C213" s="578"/>
      <c r="D213" s="302"/>
      <c r="E213" s="270"/>
      <c r="F213" s="271"/>
      <c r="G213" s="417"/>
      <c r="H213" s="527" t="s">
        <v>260</v>
      </c>
      <c r="I213" s="278">
        <v>237142.86</v>
      </c>
      <c r="J213" s="263" t="s">
        <v>66</v>
      </c>
      <c r="K213" s="330">
        <v>210</v>
      </c>
      <c r="L213" s="263"/>
      <c r="M213" s="318"/>
      <c r="N213" s="263"/>
      <c r="O213" s="369"/>
      <c r="P213" s="263" t="s">
        <v>1</v>
      </c>
      <c r="Q213" s="277">
        <f>ROUND(I213*K213,-1)</f>
        <v>49800000</v>
      </c>
      <c r="R213" s="278"/>
    </row>
    <row r="214" spans="1:18" s="354" customFormat="1" ht="18.95" customHeight="1">
      <c r="A214" s="437"/>
      <c r="B214" s="807" t="s">
        <v>429</v>
      </c>
      <c r="C214" s="808"/>
      <c r="D214" s="247">
        <f>SUM(D215:D242)</f>
        <v>0</v>
      </c>
      <c r="E214" s="247">
        <f>SUM(E215:E242)</f>
        <v>46400</v>
      </c>
      <c r="F214" s="248">
        <f>E214-D214</f>
        <v>46400</v>
      </c>
      <c r="G214" s="413">
        <f>F214/E214</f>
        <v>1</v>
      </c>
      <c r="H214" s="249"/>
      <c r="I214" s="250"/>
      <c r="J214" s="250"/>
      <c r="K214" s="250"/>
      <c r="L214" s="250"/>
      <c r="M214" s="250"/>
      <c r="N214" s="250"/>
      <c r="O214" s="250"/>
      <c r="P214" s="250"/>
      <c r="Q214" s="251"/>
      <c r="R214" s="278"/>
    </row>
    <row r="215" spans="1:18" s="354" customFormat="1" ht="18.95" customHeight="1">
      <c r="A215" s="437"/>
      <c r="B215" s="521"/>
      <c r="C215" s="597" t="s">
        <v>399</v>
      </c>
      <c r="D215" s="257">
        <v>0</v>
      </c>
      <c r="E215" s="257">
        <f>ROUND((Q215/1000),0)</f>
        <v>4400</v>
      </c>
      <c r="F215" s="258">
        <f>E215-D215</f>
        <v>4400</v>
      </c>
      <c r="G215" s="414">
        <f>F215/E215</f>
        <v>1</v>
      </c>
      <c r="H215" s="398" t="s">
        <v>395</v>
      </c>
      <c r="I215" s="524"/>
      <c r="J215" s="261"/>
      <c r="K215" s="525"/>
      <c r="L215" s="261"/>
      <c r="M215" s="526"/>
      <c r="N215" s="261"/>
      <c r="O215" s="368"/>
      <c r="P215" s="261"/>
      <c r="Q215" s="264">
        <f>SUM(Q216:Q218)</f>
        <v>4400000</v>
      </c>
      <c r="R215" s="278"/>
    </row>
    <row r="216" spans="1:18" s="354" customFormat="1" ht="18.95" customHeight="1">
      <c r="A216" s="437"/>
      <c r="B216" s="521"/>
      <c r="C216" s="578"/>
      <c r="D216" s="302"/>
      <c r="E216" s="270"/>
      <c r="F216" s="271"/>
      <c r="G216" s="417"/>
      <c r="H216" s="286" t="s">
        <v>396</v>
      </c>
      <c r="I216" s="278">
        <v>50000</v>
      </c>
      <c r="J216" s="263" t="s">
        <v>19</v>
      </c>
      <c r="K216" s="580">
        <v>4</v>
      </c>
      <c r="L216" s="263" t="s">
        <v>66</v>
      </c>
      <c r="M216" s="275">
        <v>10</v>
      </c>
      <c r="N216" s="263"/>
      <c r="O216" s="369"/>
      <c r="P216" s="263" t="s">
        <v>1</v>
      </c>
      <c r="Q216" s="277">
        <f>I216*K216*M216</f>
        <v>2000000</v>
      </c>
      <c r="R216" s="278"/>
    </row>
    <row r="217" spans="1:18" s="354" customFormat="1" ht="18.95" customHeight="1">
      <c r="A217" s="437"/>
      <c r="B217" s="521"/>
      <c r="C217" s="578"/>
      <c r="D217" s="302"/>
      <c r="E217" s="270"/>
      <c r="F217" s="271"/>
      <c r="G217" s="417"/>
      <c r="H217" s="286" t="s">
        <v>397</v>
      </c>
      <c r="I217" s="278">
        <v>45000</v>
      </c>
      <c r="J217" s="263" t="s">
        <v>66</v>
      </c>
      <c r="K217" s="580">
        <v>4</v>
      </c>
      <c r="L217" s="263" t="s">
        <v>66</v>
      </c>
      <c r="M217" s="275">
        <v>10</v>
      </c>
      <c r="N217" s="263"/>
      <c r="O217" s="369"/>
      <c r="P217" s="263" t="s">
        <v>1</v>
      </c>
      <c r="Q217" s="277">
        <f t="shared" ref="Q217:Q218" si="14">I217*K217*M217</f>
        <v>1800000</v>
      </c>
      <c r="R217" s="278"/>
    </row>
    <row r="218" spans="1:18" s="354" customFormat="1" ht="18.95" customHeight="1">
      <c r="A218" s="437"/>
      <c r="B218" s="521"/>
      <c r="C218" s="578"/>
      <c r="D218" s="302"/>
      <c r="E218" s="270"/>
      <c r="F218" s="271"/>
      <c r="G218" s="417"/>
      <c r="H218" s="527" t="s">
        <v>398</v>
      </c>
      <c r="I218" s="278">
        <v>300000</v>
      </c>
      <c r="J218" s="263" t="s">
        <v>66</v>
      </c>
      <c r="K218" s="580">
        <v>2</v>
      </c>
      <c r="L218" s="263" t="s">
        <v>66</v>
      </c>
      <c r="M218" s="275">
        <v>1</v>
      </c>
      <c r="N218" s="263"/>
      <c r="O218" s="369"/>
      <c r="P218" s="263" t="s">
        <v>1</v>
      </c>
      <c r="Q218" s="277">
        <f t="shared" si="14"/>
        <v>600000</v>
      </c>
      <c r="R218" s="278"/>
    </row>
    <row r="219" spans="1:18" s="354" customFormat="1" ht="18.95" customHeight="1">
      <c r="A219" s="437"/>
      <c r="B219" s="521"/>
      <c r="C219" s="577" t="s">
        <v>400</v>
      </c>
      <c r="D219" s="257">
        <v>0</v>
      </c>
      <c r="E219" s="257">
        <f>ROUND((Q219/1000),0)</f>
        <v>18000</v>
      </c>
      <c r="F219" s="258">
        <f>E219-D219</f>
        <v>18000</v>
      </c>
      <c r="G219" s="414">
        <f>F219/E219</f>
        <v>1</v>
      </c>
      <c r="H219" s="398" t="s">
        <v>405</v>
      </c>
      <c r="I219" s="524"/>
      <c r="J219" s="261"/>
      <c r="K219" s="525"/>
      <c r="L219" s="261"/>
      <c r="M219" s="526"/>
      <c r="N219" s="261"/>
      <c r="O219" s="368"/>
      <c r="P219" s="261"/>
      <c r="Q219" s="264">
        <f>SUM(Q220:Q222)</f>
        <v>18000000</v>
      </c>
      <c r="R219" s="278"/>
    </row>
    <row r="220" spans="1:18" s="354" customFormat="1" ht="18.95" customHeight="1">
      <c r="A220" s="437"/>
      <c r="B220" s="521"/>
      <c r="C220" s="578"/>
      <c r="D220" s="302"/>
      <c r="E220" s="270"/>
      <c r="F220" s="271"/>
      <c r="G220" s="417"/>
      <c r="H220" s="286" t="s">
        <v>406</v>
      </c>
      <c r="I220" s="278">
        <v>100000</v>
      </c>
      <c r="J220" s="263" t="s">
        <v>19</v>
      </c>
      <c r="K220" s="583">
        <v>40</v>
      </c>
      <c r="L220" s="263"/>
      <c r="M220" s="275"/>
      <c r="N220" s="263"/>
      <c r="O220" s="369"/>
      <c r="P220" s="263" t="s">
        <v>1</v>
      </c>
      <c r="Q220" s="277">
        <f>I220*K220</f>
        <v>4000000</v>
      </c>
      <c r="R220" s="278"/>
    </row>
    <row r="221" spans="1:18" s="354" customFormat="1" ht="18.95" customHeight="1">
      <c r="A221" s="437"/>
      <c r="B221" s="521"/>
      <c r="C221" s="578"/>
      <c r="D221" s="302"/>
      <c r="E221" s="270"/>
      <c r="F221" s="271"/>
      <c r="G221" s="417"/>
      <c r="H221" s="286" t="s">
        <v>407</v>
      </c>
      <c r="I221" s="278">
        <v>375000</v>
      </c>
      <c r="J221" s="263" t="s">
        <v>66</v>
      </c>
      <c r="K221" s="580">
        <v>4</v>
      </c>
      <c r="L221" s="263" t="s">
        <v>66</v>
      </c>
      <c r="M221" s="275">
        <v>4</v>
      </c>
      <c r="N221" s="263"/>
      <c r="O221" s="369"/>
      <c r="P221" s="263" t="s">
        <v>1</v>
      </c>
      <c r="Q221" s="277">
        <f t="shared" ref="Q221:Q222" si="15">I221*K221*M221</f>
        <v>6000000</v>
      </c>
      <c r="R221" s="278"/>
    </row>
    <row r="222" spans="1:18" s="354" customFormat="1" ht="18.95" customHeight="1">
      <c r="A222" s="437"/>
      <c r="B222" s="521"/>
      <c r="C222" s="578"/>
      <c r="D222" s="302"/>
      <c r="E222" s="270"/>
      <c r="F222" s="271"/>
      <c r="G222" s="417"/>
      <c r="H222" s="527" t="s">
        <v>408</v>
      </c>
      <c r="I222" s="278">
        <v>500000</v>
      </c>
      <c r="J222" s="263" t="s">
        <v>66</v>
      </c>
      <c r="K222" s="580">
        <v>4</v>
      </c>
      <c r="L222" s="263" t="s">
        <v>66</v>
      </c>
      <c r="M222" s="275">
        <v>4</v>
      </c>
      <c r="N222" s="263"/>
      <c r="O222" s="369"/>
      <c r="P222" s="263" t="s">
        <v>1</v>
      </c>
      <c r="Q222" s="277">
        <f t="shared" si="15"/>
        <v>8000000</v>
      </c>
      <c r="R222" s="278"/>
    </row>
    <row r="223" spans="1:18" s="354" customFormat="1" ht="18.95" customHeight="1">
      <c r="A223" s="437"/>
      <c r="B223" s="521"/>
      <c r="C223" s="577" t="s">
        <v>401</v>
      </c>
      <c r="D223" s="257">
        <v>0</v>
      </c>
      <c r="E223" s="257">
        <f>ROUND((Q223/1000),0)</f>
        <v>6000</v>
      </c>
      <c r="F223" s="258">
        <f>E223-D223</f>
        <v>6000</v>
      </c>
      <c r="G223" s="414">
        <f>F223/E223</f>
        <v>1</v>
      </c>
      <c r="H223" s="398" t="s">
        <v>409</v>
      </c>
      <c r="I223" s="524"/>
      <c r="J223" s="261"/>
      <c r="K223" s="525"/>
      <c r="L223" s="261"/>
      <c r="M223" s="526"/>
      <c r="N223" s="261"/>
      <c r="O223" s="368"/>
      <c r="P223" s="261"/>
      <c r="Q223" s="264">
        <f>SUM(Q224:Q229)</f>
        <v>6000000</v>
      </c>
      <c r="R223" s="278"/>
    </row>
    <row r="224" spans="1:18" s="354" customFormat="1" ht="18.95" customHeight="1">
      <c r="A224" s="437"/>
      <c r="B224" s="521"/>
      <c r="C224" s="578"/>
      <c r="D224" s="302"/>
      <c r="E224" s="270"/>
      <c r="F224" s="271"/>
      <c r="G224" s="417"/>
      <c r="H224" s="286" t="s">
        <v>410</v>
      </c>
      <c r="I224" s="278">
        <v>50000</v>
      </c>
      <c r="J224" s="263" t="s">
        <v>19</v>
      </c>
      <c r="K224" s="285">
        <v>72</v>
      </c>
      <c r="L224" s="263"/>
      <c r="M224" s="275"/>
      <c r="N224" s="263"/>
      <c r="O224" s="369"/>
      <c r="P224" s="263" t="s">
        <v>1</v>
      </c>
      <c r="Q224" s="277">
        <f>I224*K224</f>
        <v>3600000</v>
      </c>
      <c r="R224" s="278"/>
    </row>
    <row r="225" spans="1:18" s="354" customFormat="1" ht="18.95" customHeight="1">
      <c r="A225" s="437"/>
      <c r="B225" s="521"/>
      <c r="C225" s="578"/>
      <c r="D225" s="302"/>
      <c r="E225" s="270"/>
      <c r="F225" s="271"/>
      <c r="G225" s="417"/>
      <c r="H225" s="286" t="s">
        <v>397</v>
      </c>
      <c r="I225" s="278">
        <v>7000</v>
      </c>
      <c r="J225" s="263" t="s">
        <v>19</v>
      </c>
      <c r="K225" s="285">
        <v>72</v>
      </c>
      <c r="L225" s="263"/>
      <c r="M225" s="275"/>
      <c r="N225" s="263"/>
      <c r="O225" s="369"/>
      <c r="P225" s="263" t="s">
        <v>1</v>
      </c>
      <c r="Q225" s="277">
        <f t="shared" ref="Q225:Q229" si="16">I225*K225</f>
        <v>504000</v>
      </c>
      <c r="R225" s="278"/>
    </row>
    <row r="226" spans="1:18" s="354" customFormat="1" ht="18.95" customHeight="1">
      <c r="A226" s="437"/>
      <c r="B226" s="521"/>
      <c r="C226" s="578"/>
      <c r="D226" s="302"/>
      <c r="E226" s="270"/>
      <c r="F226" s="271"/>
      <c r="G226" s="417"/>
      <c r="H226" s="286" t="s">
        <v>411</v>
      </c>
      <c r="I226" s="278">
        <v>50000</v>
      </c>
      <c r="J226" s="263" t="s">
        <v>19</v>
      </c>
      <c r="K226" s="285">
        <v>20</v>
      </c>
      <c r="L226" s="263"/>
      <c r="M226" s="275"/>
      <c r="N226" s="263"/>
      <c r="O226" s="369"/>
      <c r="P226" s="263" t="s">
        <v>1</v>
      </c>
      <c r="Q226" s="277">
        <f t="shared" si="16"/>
        <v>1000000</v>
      </c>
      <c r="R226" s="278"/>
    </row>
    <row r="227" spans="1:18" s="354" customFormat="1" ht="18.95" customHeight="1">
      <c r="A227" s="437"/>
      <c r="B227" s="521"/>
      <c r="C227" s="578"/>
      <c r="D227" s="302"/>
      <c r="E227" s="270"/>
      <c r="F227" s="271"/>
      <c r="G227" s="417"/>
      <c r="H227" s="286" t="s">
        <v>412</v>
      </c>
      <c r="I227" s="278">
        <v>7000</v>
      </c>
      <c r="J227" s="263" t="s">
        <v>19</v>
      </c>
      <c r="K227" s="285">
        <v>20</v>
      </c>
      <c r="L227" s="263"/>
      <c r="M227" s="275"/>
      <c r="N227" s="263"/>
      <c r="O227" s="369"/>
      <c r="P227" s="263" t="s">
        <v>1</v>
      </c>
      <c r="Q227" s="277">
        <f t="shared" si="16"/>
        <v>140000</v>
      </c>
      <c r="R227" s="278"/>
    </row>
    <row r="228" spans="1:18" s="354" customFormat="1" ht="18.95" customHeight="1">
      <c r="A228" s="437"/>
      <c r="B228" s="521"/>
      <c r="C228" s="578"/>
      <c r="D228" s="302"/>
      <c r="E228" s="270"/>
      <c r="F228" s="271"/>
      <c r="G228" s="417"/>
      <c r="H228" s="286" t="s">
        <v>413</v>
      </c>
      <c r="I228" s="278">
        <v>100000</v>
      </c>
      <c r="J228" s="263" t="s">
        <v>66</v>
      </c>
      <c r="K228" s="285">
        <v>2</v>
      </c>
      <c r="L228" s="263"/>
      <c r="M228" s="275"/>
      <c r="N228" s="263"/>
      <c r="O228" s="369"/>
      <c r="P228" s="263" t="s">
        <v>1</v>
      </c>
      <c r="Q228" s="277">
        <f>I228*K228</f>
        <v>200000</v>
      </c>
      <c r="R228" s="278"/>
    </row>
    <row r="229" spans="1:18" s="354" customFormat="1" ht="18.95" customHeight="1">
      <c r="A229" s="437"/>
      <c r="B229" s="521"/>
      <c r="C229" s="578"/>
      <c r="D229" s="302"/>
      <c r="E229" s="270"/>
      <c r="F229" s="271"/>
      <c r="G229" s="417"/>
      <c r="H229" s="527" t="s">
        <v>414</v>
      </c>
      <c r="I229" s="278">
        <v>556000</v>
      </c>
      <c r="J229" s="263" t="s">
        <v>66</v>
      </c>
      <c r="K229" s="285">
        <v>1</v>
      </c>
      <c r="L229" s="263"/>
      <c r="M229" s="275"/>
      <c r="N229" s="263"/>
      <c r="O229" s="369"/>
      <c r="P229" s="263" t="s">
        <v>1</v>
      </c>
      <c r="Q229" s="277">
        <f t="shared" si="16"/>
        <v>556000</v>
      </c>
      <c r="R229" s="278"/>
    </row>
    <row r="230" spans="1:18" s="354" customFormat="1" ht="18.95" customHeight="1">
      <c r="A230" s="437"/>
      <c r="B230" s="521"/>
      <c r="C230" s="577" t="s">
        <v>402</v>
      </c>
      <c r="D230" s="257">
        <v>0</v>
      </c>
      <c r="E230" s="257">
        <f>ROUND((Q230/1000),0)</f>
        <v>6000</v>
      </c>
      <c r="F230" s="258">
        <f>E230-D230</f>
        <v>6000</v>
      </c>
      <c r="G230" s="414">
        <f>F230/E230</f>
        <v>1</v>
      </c>
      <c r="H230" s="398" t="s">
        <v>426</v>
      </c>
      <c r="I230" s="524"/>
      <c r="J230" s="261"/>
      <c r="K230" s="525"/>
      <c r="L230" s="261"/>
      <c r="M230" s="526"/>
      <c r="N230" s="261"/>
      <c r="O230" s="368"/>
      <c r="P230" s="261"/>
      <c r="Q230" s="264">
        <f>SUM(Q231:Q235)</f>
        <v>6000000</v>
      </c>
      <c r="R230" s="278"/>
    </row>
    <row r="231" spans="1:18" s="354" customFormat="1" ht="18.95" customHeight="1">
      <c r="A231" s="437"/>
      <c r="B231" s="521"/>
      <c r="C231" s="578"/>
      <c r="D231" s="302"/>
      <c r="E231" s="270"/>
      <c r="F231" s="271"/>
      <c r="G231" s="417"/>
      <c r="H231" s="286" t="s">
        <v>415</v>
      </c>
      <c r="I231" s="278">
        <v>120000</v>
      </c>
      <c r="J231" s="263" t="s">
        <v>19</v>
      </c>
      <c r="K231" s="285">
        <v>16</v>
      </c>
      <c r="L231" s="263"/>
      <c r="M231" s="275"/>
      <c r="N231" s="263"/>
      <c r="O231" s="369"/>
      <c r="P231" s="263" t="s">
        <v>1</v>
      </c>
      <c r="Q231" s="277">
        <f>I231*K231</f>
        <v>1920000</v>
      </c>
      <c r="R231" s="278"/>
    </row>
    <row r="232" spans="1:18" s="354" customFormat="1" ht="18.95" customHeight="1">
      <c r="A232" s="437"/>
      <c r="B232" s="521"/>
      <c r="C232" s="578"/>
      <c r="D232" s="302"/>
      <c r="E232" s="270"/>
      <c r="F232" s="271"/>
      <c r="G232" s="417"/>
      <c r="H232" s="286" t="s">
        <v>416</v>
      </c>
      <c r="I232" s="278">
        <v>147500</v>
      </c>
      <c r="J232" s="263" t="s">
        <v>19</v>
      </c>
      <c r="K232" s="285">
        <v>16</v>
      </c>
      <c r="L232" s="263"/>
      <c r="M232" s="275"/>
      <c r="N232" s="263"/>
      <c r="O232" s="369"/>
      <c r="P232" s="263"/>
      <c r="Q232" s="277">
        <f t="shared" ref="Q232:Q235" si="17">I232*K232</f>
        <v>2360000</v>
      </c>
      <c r="R232" s="278"/>
    </row>
    <row r="233" spans="1:18" s="354" customFormat="1" ht="18.95" customHeight="1">
      <c r="A233" s="437"/>
      <c r="B233" s="521"/>
      <c r="C233" s="578"/>
      <c r="D233" s="302"/>
      <c r="E233" s="270"/>
      <c r="F233" s="271"/>
      <c r="G233" s="417"/>
      <c r="H233" s="286" t="s">
        <v>417</v>
      </c>
      <c r="I233" s="278">
        <v>80000</v>
      </c>
      <c r="J233" s="263" t="s">
        <v>19</v>
      </c>
      <c r="K233" s="285">
        <v>2</v>
      </c>
      <c r="L233" s="263"/>
      <c r="M233" s="275"/>
      <c r="N233" s="263"/>
      <c r="O233" s="369"/>
      <c r="P233" s="263"/>
      <c r="Q233" s="277">
        <f t="shared" si="17"/>
        <v>160000</v>
      </c>
      <c r="R233" s="278"/>
    </row>
    <row r="234" spans="1:18" s="354" customFormat="1" ht="18.95" customHeight="1">
      <c r="A234" s="437"/>
      <c r="B234" s="521"/>
      <c r="C234" s="578"/>
      <c r="D234" s="302"/>
      <c r="E234" s="270"/>
      <c r="F234" s="271"/>
      <c r="G234" s="417"/>
      <c r="H234" s="286" t="s">
        <v>418</v>
      </c>
      <c r="I234" s="278">
        <v>113333.33</v>
      </c>
      <c r="J234" s="263" t="s">
        <v>19</v>
      </c>
      <c r="K234" s="285">
        <v>12</v>
      </c>
      <c r="L234" s="263"/>
      <c r="M234" s="275"/>
      <c r="N234" s="263"/>
      <c r="O234" s="369"/>
      <c r="P234" s="263" t="s">
        <v>1</v>
      </c>
      <c r="Q234" s="277">
        <f>ROUND(I234*K234,-1)</f>
        <v>1360000</v>
      </c>
      <c r="R234" s="278"/>
    </row>
    <row r="235" spans="1:18" s="354" customFormat="1" ht="18.95" customHeight="1">
      <c r="A235" s="437"/>
      <c r="B235" s="521"/>
      <c r="C235" s="578"/>
      <c r="D235" s="302"/>
      <c r="E235" s="270"/>
      <c r="F235" s="271"/>
      <c r="G235" s="417"/>
      <c r="H235" s="527" t="s">
        <v>419</v>
      </c>
      <c r="I235" s="278">
        <v>20000</v>
      </c>
      <c r="J235" s="263" t="s">
        <v>19</v>
      </c>
      <c r="K235" s="285">
        <v>10</v>
      </c>
      <c r="L235" s="263"/>
      <c r="M235" s="275"/>
      <c r="N235" s="263"/>
      <c r="O235" s="369"/>
      <c r="P235" s="263" t="s">
        <v>1</v>
      </c>
      <c r="Q235" s="277">
        <f t="shared" si="17"/>
        <v>200000</v>
      </c>
      <c r="R235" s="278"/>
    </row>
    <row r="236" spans="1:18" s="354" customFormat="1" ht="18.95" customHeight="1">
      <c r="A236" s="437"/>
      <c r="B236" s="521"/>
      <c r="C236" s="577" t="s">
        <v>403</v>
      </c>
      <c r="D236" s="257">
        <v>0</v>
      </c>
      <c r="E236" s="257">
        <f>ROUND((Q236/1000),0)</f>
        <v>6000</v>
      </c>
      <c r="F236" s="258">
        <f>E236-D236</f>
        <v>6000</v>
      </c>
      <c r="G236" s="414">
        <f>F236/E236</f>
        <v>1</v>
      </c>
      <c r="H236" s="398" t="s">
        <v>421</v>
      </c>
      <c r="I236" s="524"/>
      <c r="J236" s="261"/>
      <c r="K236" s="525"/>
      <c r="L236" s="261"/>
      <c r="M236" s="526"/>
      <c r="N236" s="261"/>
      <c r="O236" s="368"/>
      <c r="P236" s="261"/>
      <c r="Q236" s="264">
        <f>SUM(Q237:Q239)</f>
        <v>6000000</v>
      </c>
      <c r="R236" s="278"/>
    </row>
    <row r="237" spans="1:18" s="354" customFormat="1" ht="18.95" customHeight="1">
      <c r="A237" s="437"/>
      <c r="B237" s="521"/>
      <c r="C237" s="578"/>
      <c r="D237" s="302"/>
      <c r="E237" s="270"/>
      <c r="F237" s="271"/>
      <c r="G237" s="417"/>
      <c r="H237" s="286" t="s">
        <v>420</v>
      </c>
      <c r="I237" s="278">
        <v>80000</v>
      </c>
      <c r="J237" s="263" t="s">
        <v>19</v>
      </c>
      <c r="K237" s="285">
        <v>30</v>
      </c>
      <c r="L237" s="263"/>
      <c r="M237" s="275"/>
      <c r="N237" s="263"/>
      <c r="O237" s="369"/>
      <c r="P237" s="263" t="s">
        <v>1</v>
      </c>
      <c r="Q237" s="277">
        <f t="shared" ref="Q237" si="18">I237*K237</f>
        <v>2400000</v>
      </c>
      <c r="R237" s="278"/>
    </row>
    <row r="238" spans="1:18" s="354" customFormat="1" ht="18.95" customHeight="1">
      <c r="A238" s="437"/>
      <c r="B238" s="521"/>
      <c r="C238" s="578"/>
      <c r="D238" s="302"/>
      <c r="E238" s="270"/>
      <c r="F238" s="271"/>
      <c r="G238" s="417"/>
      <c r="H238" s="286" t="s">
        <v>422</v>
      </c>
      <c r="I238" s="278">
        <v>103333.33</v>
      </c>
      <c r="J238" s="263" t="s">
        <v>66</v>
      </c>
      <c r="K238" s="285">
        <v>30</v>
      </c>
      <c r="L238" s="263"/>
      <c r="M238" s="275"/>
      <c r="N238" s="263"/>
      <c r="O238" s="369"/>
      <c r="P238" s="263" t="s">
        <v>1</v>
      </c>
      <c r="Q238" s="277">
        <f>ROUND(I238*K238,-1)</f>
        <v>3100000</v>
      </c>
      <c r="R238" s="278"/>
    </row>
    <row r="239" spans="1:18" s="354" customFormat="1" ht="18.95" customHeight="1">
      <c r="A239" s="437"/>
      <c r="B239" s="521"/>
      <c r="C239" s="294"/>
      <c r="D239" s="324"/>
      <c r="E239" s="325"/>
      <c r="F239" s="326"/>
      <c r="G239" s="423"/>
      <c r="H239" s="528" t="s">
        <v>423</v>
      </c>
      <c r="I239" s="328">
        <v>50000</v>
      </c>
      <c r="J239" s="331" t="s">
        <v>66</v>
      </c>
      <c r="K239" s="600">
        <v>10</v>
      </c>
      <c r="L239" s="331"/>
      <c r="M239" s="601"/>
      <c r="N239" s="331"/>
      <c r="O239" s="370"/>
      <c r="P239" s="331" t="s">
        <v>1</v>
      </c>
      <c r="Q239" s="371">
        <f t="shared" ref="Q239" si="19">I239*K239</f>
        <v>500000</v>
      </c>
      <c r="R239" s="278"/>
    </row>
    <row r="240" spans="1:18" s="354" customFormat="1" ht="18.95" customHeight="1">
      <c r="A240" s="437"/>
      <c r="B240" s="521"/>
      <c r="C240" s="579" t="s">
        <v>404</v>
      </c>
      <c r="D240" s="270">
        <v>0</v>
      </c>
      <c r="E240" s="270">
        <f>ROUND((Q240/1000),0)</f>
        <v>6000</v>
      </c>
      <c r="F240" s="271">
        <f>E240-D240</f>
        <v>6000</v>
      </c>
      <c r="G240" s="417">
        <f>F240/E240</f>
        <v>1</v>
      </c>
      <c r="H240" s="581" t="s">
        <v>395</v>
      </c>
      <c r="I240" s="278"/>
      <c r="J240" s="263"/>
      <c r="K240" s="330"/>
      <c r="L240" s="263"/>
      <c r="M240" s="318"/>
      <c r="N240" s="263"/>
      <c r="O240" s="369"/>
      <c r="P240" s="263"/>
      <c r="Q240" s="313">
        <f>SUM(Q241:Q242)</f>
        <v>6000000</v>
      </c>
      <c r="R240" s="278"/>
    </row>
    <row r="241" spans="1:18" s="354" customFormat="1" ht="18.95" customHeight="1">
      <c r="A241" s="437"/>
      <c r="B241" s="521"/>
      <c r="C241" s="579"/>
      <c r="D241" s="302"/>
      <c r="E241" s="270"/>
      <c r="F241" s="271"/>
      <c r="G241" s="417"/>
      <c r="H241" s="286" t="s">
        <v>424</v>
      </c>
      <c r="I241" s="278">
        <v>175000</v>
      </c>
      <c r="J241" s="263" t="s">
        <v>19</v>
      </c>
      <c r="K241" s="285">
        <v>30</v>
      </c>
      <c r="L241" s="263"/>
      <c r="M241" s="275"/>
      <c r="N241" s="263"/>
      <c r="O241" s="369"/>
      <c r="P241" s="263" t="s">
        <v>1</v>
      </c>
      <c r="Q241" s="277">
        <f>I241*K241</f>
        <v>5250000</v>
      </c>
      <c r="R241" s="278"/>
    </row>
    <row r="242" spans="1:18" s="354" customFormat="1" ht="18.95" customHeight="1">
      <c r="A242" s="602"/>
      <c r="B242" s="603"/>
      <c r="C242" s="540"/>
      <c r="D242" s="344"/>
      <c r="E242" s="289"/>
      <c r="F242" s="290"/>
      <c r="G242" s="604"/>
      <c r="H242" s="510" t="s">
        <v>425</v>
      </c>
      <c r="I242" s="355">
        <v>30000</v>
      </c>
      <c r="J242" s="291" t="s">
        <v>66</v>
      </c>
      <c r="K242" s="357">
        <v>25</v>
      </c>
      <c r="L242" s="291"/>
      <c r="M242" s="605"/>
      <c r="N242" s="291"/>
      <c r="O242" s="606"/>
      <c r="P242" s="291" t="s">
        <v>1</v>
      </c>
      <c r="Q242" s="607">
        <f>I242*K242</f>
        <v>750000</v>
      </c>
      <c r="R242" s="278"/>
    </row>
    <row r="243" spans="1:18" s="374" customFormat="1" ht="18" customHeight="1">
      <c r="A243" s="824" t="s">
        <v>81</v>
      </c>
      <c r="B243" s="825"/>
      <c r="C243" s="826"/>
      <c r="D243" s="438">
        <f>D244</f>
        <v>132</v>
      </c>
      <c r="E243" s="439">
        <f>E244</f>
        <v>0</v>
      </c>
      <c r="F243" s="440">
        <f>E243-D243</f>
        <v>-132</v>
      </c>
      <c r="G243" s="459">
        <v>1</v>
      </c>
      <c r="H243" s="441"/>
      <c r="I243" s="442"/>
      <c r="J243" s="442"/>
      <c r="K243" s="442"/>
      <c r="L243" s="442"/>
      <c r="M243" s="442"/>
      <c r="N243" s="442"/>
      <c r="O243" s="442"/>
      <c r="P243" s="442"/>
      <c r="Q243" s="443"/>
      <c r="R243" s="243"/>
    </row>
    <row r="244" spans="1:18" s="374" customFormat="1" ht="17.45" customHeight="1">
      <c r="A244" s="821" t="s">
        <v>95</v>
      </c>
      <c r="B244" s="807" t="s">
        <v>82</v>
      </c>
      <c r="C244" s="808"/>
      <c r="D244" s="246">
        <f>SUM(D245:D248)</f>
        <v>132</v>
      </c>
      <c r="E244" s="246">
        <f>SUM(E245:E248)</f>
        <v>0</v>
      </c>
      <c r="F244" s="248">
        <f>E244-D244</f>
        <v>-132</v>
      </c>
      <c r="G244" s="375">
        <v>1</v>
      </c>
      <c r="H244" s="249"/>
      <c r="I244" s="250"/>
      <c r="J244" s="250"/>
      <c r="K244" s="250"/>
      <c r="L244" s="250"/>
      <c r="M244" s="250"/>
      <c r="N244" s="250"/>
      <c r="O244" s="250"/>
      <c r="P244" s="250"/>
      <c r="Q244" s="251"/>
      <c r="R244" s="365"/>
    </row>
    <row r="245" spans="1:18" s="379" customFormat="1" ht="17.45" hidden="1" customHeight="1">
      <c r="A245" s="822"/>
      <c r="C245" s="541" t="s">
        <v>79</v>
      </c>
      <c r="D245" s="376">
        <v>0</v>
      </c>
      <c r="E245" s="257">
        <f>ROUND((Q245/1000),0)</f>
        <v>0</v>
      </c>
      <c r="F245" s="377">
        <f>E245-D245</f>
        <v>0</v>
      </c>
      <c r="G245" s="397">
        <v>1</v>
      </c>
      <c r="H245" s="378" t="s">
        <v>96</v>
      </c>
      <c r="I245" s="260"/>
      <c r="J245" s="261"/>
      <c r="K245" s="261"/>
      <c r="L245" s="261"/>
      <c r="M245" s="261"/>
      <c r="N245" s="261"/>
      <c r="O245" s="262"/>
      <c r="P245" s="261"/>
      <c r="Q245" s="264">
        <f>SUM(Q246)</f>
        <v>0</v>
      </c>
      <c r="R245" s="265"/>
    </row>
    <row r="246" spans="1:18" s="379" customFormat="1" ht="17.45" hidden="1" customHeight="1">
      <c r="A246" s="822"/>
      <c r="B246" s="349"/>
      <c r="C246" s="294"/>
      <c r="D246" s="380"/>
      <c r="E246" s="381"/>
      <c r="F246" s="382"/>
      <c r="G246" s="383"/>
      <c r="H246" s="384" t="s">
        <v>155</v>
      </c>
      <c r="I246" s="328">
        <v>0</v>
      </c>
      <c r="J246" s="263" t="s">
        <v>66</v>
      </c>
      <c r="K246" s="318">
        <v>1</v>
      </c>
      <c r="L246" s="331"/>
      <c r="M246" s="385"/>
      <c r="N246" s="331"/>
      <c r="O246" s="370"/>
      <c r="P246" s="331" t="s">
        <v>1</v>
      </c>
      <c r="Q246" s="371">
        <f>I246*K246</f>
        <v>0</v>
      </c>
      <c r="R246" s="278"/>
    </row>
    <row r="247" spans="1:18" s="379" customFormat="1" ht="17.45" customHeight="1">
      <c r="A247" s="822"/>
      <c r="B247" s="827" t="s">
        <v>97</v>
      </c>
      <c r="C247" s="541" t="s">
        <v>85</v>
      </c>
      <c r="D247" s="256">
        <f>ROUND(131779/1000,0)</f>
        <v>132</v>
      </c>
      <c r="E247" s="256">
        <f>ROUND($Q$247/1000,0)</f>
        <v>0</v>
      </c>
      <c r="F247" s="377">
        <f>E247-D247</f>
        <v>-132</v>
      </c>
      <c r="G247" s="397">
        <f>F247/D247</f>
        <v>-1</v>
      </c>
      <c r="H247" s="378" t="s">
        <v>99</v>
      </c>
      <c r="I247" s="260"/>
      <c r="J247" s="261"/>
      <c r="K247" s="261"/>
      <c r="L247" s="261"/>
      <c r="M247" s="261"/>
      <c r="N247" s="261"/>
      <c r="O247" s="262"/>
      <c r="P247" s="261"/>
      <c r="Q247" s="264">
        <f>SUM(Q248)</f>
        <v>0</v>
      </c>
      <c r="R247" s="265"/>
    </row>
    <row r="248" spans="1:18" s="386" customFormat="1" ht="17.45" customHeight="1" thickBot="1">
      <c r="A248" s="823"/>
      <c r="B248" s="828"/>
      <c r="C248" s="562"/>
      <c r="D248" s="563"/>
      <c r="E248" s="564"/>
      <c r="F248" s="565"/>
      <c r="G248" s="566"/>
      <c r="H248" s="567"/>
      <c r="I248" s="568">
        <v>0</v>
      </c>
      <c r="J248" s="569" t="s">
        <v>66</v>
      </c>
      <c r="K248" s="570">
        <v>2</v>
      </c>
      <c r="L248" s="569"/>
      <c r="M248" s="571"/>
      <c r="N248" s="569"/>
      <c r="O248" s="572"/>
      <c r="P248" s="569" t="s">
        <v>1</v>
      </c>
      <c r="Q248" s="573">
        <f>I248*K248</f>
        <v>0</v>
      </c>
      <c r="R248" s="355"/>
    </row>
    <row r="249" spans="1:18" ht="18.600000000000001" customHeight="1"/>
    <row r="250" spans="1:18" ht="18.600000000000001" customHeight="1"/>
    <row r="251" spans="1:18" ht="18.600000000000001" customHeight="1"/>
    <row r="252" spans="1:18" ht="18.600000000000001" customHeight="1"/>
    <row r="253" spans="1:18" ht="18.600000000000001" customHeight="1"/>
  </sheetData>
  <mergeCells count="27">
    <mergeCell ref="A244:A248"/>
    <mergeCell ref="B244:C244"/>
    <mergeCell ref="A243:C243"/>
    <mergeCell ref="B247:B248"/>
    <mergeCell ref="C95:C96"/>
    <mergeCell ref="A121:C121"/>
    <mergeCell ref="B122:C122"/>
    <mergeCell ref="A114:C114"/>
    <mergeCell ref="B115:C115"/>
    <mergeCell ref="B214:C214"/>
    <mergeCell ref="B211:C211"/>
    <mergeCell ref="B152:C152"/>
    <mergeCell ref="B161:C161"/>
    <mergeCell ref="B174:C174"/>
    <mergeCell ref="B196:C196"/>
    <mergeCell ref="B146:C146"/>
    <mergeCell ref="C147:C148"/>
    <mergeCell ref="B149:C149"/>
    <mergeCell ref="C150:C151"/>
    <mergeCell ref="A1:Q1"/>
    <mergeCell ref="A3:C3"/>
    <mergeCell ref="D3:E3"/>
    <mergeCell ref="F3:G3"/>
    <mergeCell ref="B7:C7"/>
    <mergeCell ref="A5:C5"/>
    <mergeCell ref="A6:C6"/>
    <mergeCell ref="H3:Q4"/>
  </mergeCells>
  <phoneticPr fontId="2" type="noConversion"/>
  <pageMargins left="0.74803149606299213" right="0.55118110236220474" top="0.74803149606299213" bottom="0.74803149606299213" header="0.31496062992125984" footer="0.31496062992125984"/>
  <pageSetup paperSize="9" scale="80" firstPageNumber="6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7</vt:i4>
      </vt:variant>
    </vt:vector>
  </HeadingPairs>
  <TitlesOfParts>
    <vt:vector size="13" baseType="lpstr">
      <vt:lpstr>C2고령자취업센터</vt:lpstr>
      <vt:lpstr>표지</vt:lpstr>
      <vt:lpstr>예산총칙(약식)</vt:lpstr>
      <vt:lpstr>세입세출총괄</vt:lpstr>
      <vt:lpstr>2021년 세입예산서</vt:lpstr>
      <vt:lpstr>2021년 세출예산서</vt:lpstr>
      <vt:lpstr>'2021년 세입예산서'!Print_Area</vt:lpstr>
      <vt:lpstr>'2021년 세출예산서'!Print_Area</vt:lpstr>
      <vt:lpstr>세입세출총괄!Print_Area</vt:lpstr>
      <vt:lpstr>'예산총칙(약식)'!Print_Area</vt:lpstr>
      <vt:lpstr>'2021년 세입예산서'!Print_Titles</vt:lpstr>
      <vt:lpstr>'2021년 세출예산서'!Print_Titles</vt:lpstr>
      <vt:lpstr>세입세출총괄!Print_Titles</vt:lpstr>
    </vt:vector>
  </TitlesOfParts>
  <Company>KOREA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육지현</dc:creator>
  <cp:lastModifiedBy>Microsoft</cp:lastModifiedBy>
  <cp:lastPrinted>2020-12-09T08:24:59Z</cp:lastPrinted>
  <dcterms:created xsi:type="dcterms:W3CDTF">2005-01-10T11:29:19Z</dcterms:created>
  <dcterms:modified xsi:type="dcterms:W3CDTF">2021-02-19T00:31:36Z</dcterms:modified>
</cp:coreProperties>
</file>